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comments4.xml" ContentType="application/vnd.openxmlformats-officedocument.spreadsheetml.comment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PAPER NICO\modificaciones paper\"/>
    </mc:Choice>
  </mc:AlternateContent>
  <bookViews>
    <workbookView xWindow="0" yWindow="300" windowWidth="15345" windowHeight="4155" tabRatio="918"/>
  </bookViews>
  <sheets>
    <sheet name="Datos Ing. est. noil" sheetId="1" r:id="rId1"/>
    <sheet name="Ingreso estructural no oil" sheetId="2" r:id="rId2"/>
    <sheet name="Datos Gastos GC" sheetId="6" r:id="rId3"/>
    <sheet name="Gasto estructural" sheetId="4" r:id="rId4"/>
    <sheet name="Datos CBE" sheetId="11" r:id="rId5"/>
    <sheet name="Balance Estructural" sheetId="10" r:id="rId6"/>
    <sheet name="Datos IB" sheetId="8" r:id="rId7"/>
    <sheet name="Indicador Blanchard" sheetId="7" r:id="rId8"/>
    <sheet name="GIB" sheetId="12" r:id="rId9"/>
    <sheet name="PIB TRIB TASA DE CREC" sheetId="13" r:id="rId10"/>
    <sheet name="Hoja1" sheetId="14" r:id="rId11"/>
  </sheets>
  <calcPr calcId="162913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D92" i="10" l="1"/>
  <c r="D91" i="10"/>
  <c r="D90" i="10"/>
  <c r="D89" i="10"/>
  <c r="D88" i="10"/>
  <c r="E88" i="10"/>
  <c r="G88" i="10" s="1"/>
  <c r="K88" i="10" s="1"/>
  <c r="R88" i="10" s="1"/>
  <c r="C91" i="7" s="1"/>
  <c r="R91" i="7" s="1"/>
  <c r="E89" i="10"/>
  <c r="G89" i="10" s="1"/>
  <c r="K89" i="10" s="1"/>
  <c r="R89" i="10" s="1"/>
  <c r="C92" i="7" s="1"/>
  <c r="R92" i="7" s="1"/>
  <c r="E90" i="10"/>
  <c r="G90" i="10" s="1"/>
  <c r="K90" i="10" s="1"/>
  <c r="R90" i="10" s="1"/>
  <c r="C93" i="7" s="1"/>
  <c r="R93" i="7" s="1"/>
  <c r="E91" i="10"/>
  <c r="G91" i="10" s="1"/>
  <c r="K91" i="10" s="1"/>
  <c r="R91" i="10" s="1"/>
  <c r="C94" i="7" s="1"/>
  <c r="R94" i="7" s="1"/>
  <c r="E92" i="10"/>
  <c r="G92" i="10" s="1"/>
  <c r="K92" i="10" s="1"/>
  <c r="R92" i="10" s="1"/>
  <c r="C95" i="7" s="1"/>
  <c r="R95" i="7" s="1"/>
  <c r="D83" i="10"/>
  <c r="D84" i="10"/>
  <c r="D85" i="10"/>
  <c r="D86" i="10"/>
  <c r="D87" i="10"/>
  <c r="E87" i="10" s="1"/>
  <c r="G87" i="10" s="1"/>
  <c r="K87" i="10" s="1"/>
  <c r="R87" i="10" s="1"/>
  <c r="C90" i="7" s="1"/>
  <c r="R90" i="7" s="1"/>
  <c r="E86" i="10"/>
  <c r="G86" i="10" s="1"/>
  <c r="K86" i="10" s="1"/>
  <c r="R86" i="10" s="1"/>
  <c r="C89" i="7" s="1"/>
  <c r="S87" i="7"/>
  <c r="S88" i="7"/>
  <c r="S89" i="7"/>
  <c r="S90" i="7"/>
  <c r="T94" i="7"/>
  <c r="T95" i="7"/>
  <c r="T96" i="7"/>
  <c r="T97" i="7"/>
  <c r="T93" i="7"/>
  <c r="E84" i="10"/>
  <c r="G84" i="10" s="1"/>
  <c r="K84" i="10" s="1"/>
  <c r="R84" i="10" s="1"/>
  <c r="C87" i="7" s="1"/>
  <c r="E85" i="10"/>
  <c r="G85" i="10" s="1"/>
  <c r="K85" i="10" s="1"/>
  <c r="R85" i="10" s="1"/>
  <c r="C88" i="7" s="1"/>
  <c r="E83" i="10"/>
  <c r="G83" i="10" s="1"/>
  <c r="K83" i="10" s="1"/>
  <c r="R83" i="10" s="1"/>
  <c r="C86" i="7" s="1"/>
  <c r="F83" i="10"/>
  <c r="F84" i="10"/>
  <c r="F85" i="10"/>
  <c r="F86" i="10"/>
  <c r="F87" i="10"/>
  <c r="AV85" i="4"/>
  <c r="AV86" i="4"/>
  <c r="AV87" i="4"/>
  <c r="AV88" i="4"/>
  <c r="AV89" i="4"/>
  <c r="AV84" i="4"/>
  <c r="AT86" i="4"/>
  <c r="AU85" i="4"/>
  <c r="AU86" i="4"/>
  <c r="AU87" i="4"/>
  <c r="AU88" i="4"/>
  <c r="AU89" i="4"/>
  <c r="AT85" i="4"/>
  <c r="AT87" i="4"/>
  <c r="AT88" i="4"/>
  <c r="AT89" i="4"/>
  <c r="C83" i="10"/>
  <c r="C84" i="10"/>
  <c r="C85" i="10"/>
  <c r="C86" i="10"/>
  <c r="C87" i="10"/>
  <c r="BE85" i="2"/>
  <c r="BE86" i="2"/>
  <c r="BE87" i="2"/>
  <c r="BE88" i="2"/>
  <c r="BD85" i="2"/>
  <c r="BD86" i="2"/>
  <c r="BD87" i="2"/>
  <c r="BD88" i="2"/>
  <c r="BC85" i="2"/>
  <c r="BC86" i="2"/>
  <c r="BC87" i="2"/>
  <c r="BC88" i="2"/>
  <c r="BB86" i="2"/>
  <c r="BE83" i="2"/>
  <c r="O87" i="2"/>
  <c r="O84" i="2"/>
  <c r="O85" i="2"/>
  <c r="O86" i="2"/>
  <c r="O88" i="2"/>
  <c r="BD84" i="2"/>
  <c r="BE84" i="2" s="1"/>
  <c r="BC84" i="2"/>
  <c r="BB88" i="2"/>
  <c r="BB87" i="2"/>
  <c r="BB85" i="2"/>
  <c r="BB84" i="2"/>
  <c r="Q86" i="7"/>
  <c r="Q87" i="7"/>
  <c r="Q88" i="7"/>
  <c r="Q89" i="7"/>
  <c r="Q90" i="7"/>
  <c r="K86" i="7"/>
  <c r="K87" i="7"/>
  <c r="K88" i="7"/>
  <c r="K89" i="7"/>
  <c r="K90" i="7"/>
  <c r="H86" i="7"/>
  <c r="H87" i="7"/>
  <c r="H88" i="7"/>
  <c r="H89" i="7"/>
  <c r="H90" i="7"/>
  <c r="F86" i="7"/>
  <c r="F87" i="7"/>
  <c r="F88" i="7"/>
  <c r="F89" i="7"/>
  <c r="F90" i="7"/>
  <c r="E90" i="7"/>
  <c r="E89" i="7"/>
  <c r="E88" i="7"/>
  <c r="E87" i="7"/>
  <c r="E86" i="7"/>
  <c r="Q85" i="7"/>
  <c r="S97" i="7" l="1"/>
  <c r="S93" i="7"/>
  <c r="R86" i="7"/>
  <c r="R88" i="7"/>
  <c r="S95" i="7"/>
  <c r="R89" i="7"/>
  <c r="S96" i="7"/>
  <c r="S94" i="7"/>
  <c r="R87" i="7"/>
  <c r="E76" i="8" l="1"/>
  <c r="E77" i="8"/>
  <c r="E78" i="8"/>
  <c r="E79" i="8"/>
  <c r="E80" i="8"/>
  <c r="E81" i="8"/>
  <c r="C81" i="8"/>
  <c r="G82" i="8" l="1"/>
  <c r="G83" i="8"/>
  <c r="G84" i="8"/>
  <c r="G85" i="8"/>
  <c r="G81" i="8"/>
  <c r="H85" i="8"/>
  <c r="H84" i="8"/>
  <c r="H83" i="8"/>
  <c r="H82" i="8"/>
  <c r="P140" i="8"/>
  <c r="P137" i="8"/>
  <c r="P134" i="8"/>
  <c r="P131" i="8"/>
  <c r="P128" i="8"/>
  <c r="L82" i="7" l="1"/>
  <c r="L83" i="7"/>
  <c r="L84" i="7"/>
  <c r="L85" i="7"/>
  <c r="G82" i="7"/>
  <c r="K82" i="7" s="1"/>
  <c r="G83" i="7"/>
  <c r="K83" i="7" s="1"/>
  <c r="Q83" i="7" s="1"/>
  <c r="G84" i="7"/>
  <c r="K84" i="7" s="1"/>
  <c r="G85" i="7"/>
  <c r="K85" i="7" s="1"/>
  <c r="D82" i="7"/>
  <c r="F82" i="7" s="1"/>
  <c r="D83" i="7"/>
  <c r="F83" i="7" s="1"/>
  <c r="D84" i="7"/>
  <c r="F84" i="7" s="1"/>
  <c r="D85" i="7"/>
  <c r="F85" i="7" s="1"/>
  <c r="B82" i="7"/>
  <c r="B83" i="7"/>
  <c r="B84" i="7"/>
  <c r="B85" i="7"/>
  <c r="Q78" i="10"/>
  <c r="Q79" i="10"/>
  <c r="Q80" i="10"/>
  <c r="Q81" i="10"/>
  <c r="Q82" i="10"/>
  <c r="O78" i="10"/>
  <c r="O79" i="10"/>
  <c r="O80" i="10"/>
  <c r="O81" i="10"/>
  <c r="O82" i="10"/>
  <c r="C82" i="10"/>
  <c r="E82" i="10" s="1"/>
  <c r="E79" i="10"/>
  <c r="E81" i="10"/>
  <c r="C79" i="10"/>
  <c r="C80" i="10"/>
  <c r="E80" i="10" s="1"/>
  <c r="C81" i="10"/>
  <c r="G80" i="11"/>
  <c r="G79" i="11"/>
  <c r="G78" i="11"/>
  <c r="G77" i="11"/>
  <c r="Q84" i="7" l="1"/>
  <c r="Q82" i="7"/>
  <c r="H85" i="7"/>
  <c r="H84" i="7"/>
  <c r="H83" i="7"/>
  <c r="H82" i="7"/>
  <c r="BG81" i="4"/>
  <c r="BJ81" i="4"/>
  <c r="BL81" i="4"/>
  <c r="BG82" i="4"/>
  <c r="BJ82" i="4"/>
  <c r="BL82" i="4"/>
  <c r="BG83" i="4"/>
  <c r="BJ83" i="4"/>
  <c r="BL83" i="4"/>
  <c r="BG84" i="4"/>
  <c r="BJ84" i="4"/>
  <c r="BL84" i="4"/>
  <c r="AS81" i="4"/>
  <c r="AT81" i="4" s="1"/>
  <c r="AS82" i="4"/>
  <c r="AT82" i="4" s="1"/>
  <c r="AS83" i="4"/>
  <c r="AT83" i="4" s="1"/>
  <c r="AS84" i="4"/>
  <c r="AT84" i="4" s="1"/>
  <c r="AM81" i="4"/>
  <c r="AN81" i="4" s="1"/>
  <c r="AM82" i="4"/>
  <c r="AN82" i="4" s="1"/>
  <c r="AM83" i="4"/>
  <c r="AN83" i="4" s="1"/>
  <c r="AM84" i="4"/>
  <c r="AN84" i="4" s="1"/>
  <c r="AJ74" i="4"/>
  <c r="AG81" i="4"/>
  <c r="AH81" i="4" s="1"/>
  <c r="AG82" i="4"/>
  <c r="AH82" i="4" s="1"/>
  <c r="AG83" i="4"/>
  <c r="AH83" i="4" s="1"/>
  <c r="AG84" i="4"/>
  <c r="AH84" i="4" s="1"/>
  <c r="AA81" i="4"/>
  <c r="AB81" i="4"/>
  <c r="AA82" i="4"/>
  <c r="AB82" i="4"/>
  <c r="AA83" i="4"/>
  <c r="AB83" i="4"/>
  <c r="AA84" i="4"/>
  <c r="AB84" i="4"/>
  <c r="U81" i="4"/>
  <c r="V81" i="4" s="1"/>
  <c r="U82" i="4"/>
  <c r="V82" i="4" s="1"/>
  <c r="U83" i="4"/>
  <c r="V83" i="4" s="1"/>
  <c r="U84" i="4"/>
  <c r="V84" i="4" s="1"/>
  <c r="O81" i="4"/>
  <c r="P81" i="4" s="1"/>
  <c r="O82" i="4"/>
  <c r="P82" i="4" s="1"/>
  <c r="O83" i="4"/>
  <c r="P83" i="4" s="1"/>
  <c r="O84" i="4"/>
  <c r="P84" i="4" s="1"/>
  <c r="I81" i="4"/>
  <c r="J81" i="4" s="1"/>
  <c r="I82" i="4"/>
  <c r="J82" i="4" s="1"/>
  <c r="I83" i="4"/>
  <c r="J83" i="4" s="1"/>
  <c r="I84" i="4"/>
  <c r="J84" i="4" s="1"/>
  <c r="B81" i="4"/>
  <c r="D81" i="4" s="1"/>
  <c r="C81" i="4"/>
  <c r="E81" i="4"/>
  <c r="B82" i="4"/>
  <c r="D82" i="4" s="1"/>
  <c r="C82" i="4"/>
  <c r="E82" i="4"/>
  <c r="B83" i="4"/>
  <c r="C83" i="4"/>
  <c r="E83" i="4"/>
  <c r="B84" i="4"/>
  <c r="D84" i="4" s="1"/>
  <c r="C84" i="4"/>
  <c r="E84" i="4"/>
  <c r="F84" i="4" s="1"/>
  <c r="AC84" i="4" s="1"/>
  <c r="T84" i="6"/>
  <c r="T85" i="6"/>
  <c r="T86" i="6"/>
  <c r="T87" i="6"/>
  <c r="BI83" i="2"/>
  <c r="BJ83" i="2"/>
  <c r="BK83" i="2"/>
  <c r="BL83" i="2"/>
  <c r="BO83" i="2" s="1"/>
  <c r="BM83" i="2"/>
  <c r="BN83" i="2"/>
  <c r="BI80" i="2"/>
  <c r="BJ80" i="2"/>
  <c r="BK80" i="2"/>
  <c r="BL80" i="2"/>
  <c r="BO80" i="2" s="1"/>
  <c r="BM80" i="2"/>
  <c r="BN80" i="2"/>
  <c r="BI81" i="2"/>
  <c r="BO81" i="2" s="1"/>
  <c r="BJ81" i="2"/>
  <c r="BK81" i="2"/>
  <c r="BL81" i="2"/>
  <c r="BM81" i="2"/>
  <c r="BN81" i="2"/>
  <c r="BI82" i="2"/>
  <c r="BO82" i="2" s="1"/>
  <c r="BJ82" i="2"/>
  <c r="BK82" i="2"/>
  <c r="BL82" i="2"/>
  <c r="BM82" i="2"/>
  <c r="BN82" i="2"/>
  <c r="BC80" i="2"/>
  <c r="BD80" i="2" s="1"/>
  <c r="BE80" i="2" s="1"/>
  <c r="BC81" i="2"/>
  <c r="BD81" i="2"/>
  <c r="BE81" i="2" s="1"/>
  <c r="BC82" i="2"/>
  <c r="BD82" i="2" s="1"/>
  <c r="BE82" i="2" s="1"/>
  <c r="BC83" i="2"/>
  <c r="BD83" i="2"/>
  <c r="BB80" i="2"/>
  <c r="BB81" i="2"/>
  <c r="BB82" i="2"/>
  <c r="BB83" i="2"/>
  <c r="AY81" i="2"/>
  <c r="AY82" i="2"/>
  <c r="AY83" i="2"/>
  <c r="AV80" i="2"/>
  <c r="AW80" i="2"/>
  <c r="AX80" i="2" s="1"/>
  <c r="AY80" i="2" s="1"/>
  <c r="AV81" i="2"/>
  <c r="AW81" i="2"/>
  <c r="AX81" i="2" s="1"/>
  <c r="AV82" i="2"/>
  <c r="AW82" i="2"/>
  <c r="AX82" i="2" s="1"/>
  <c r="AV83" i="2"/>
  <c r="AW83" i="2"/>
  <c r="AX83" i="2" s="1"/>
  <c r="AS80" i="2"/>
  <c r="AS81" i="2"/>
  <c r="AS82" i="2"/>
  <c r="AS83" i="2"/>
  <c r="AP80" i="2"/>
  <c r="AQ80" i="2"/>
  <c r="AR80" i="2" s="1"/>
  <c r="AP81" i="2"/>
  <c r="AQ81" i="2" s="1"/>
  <c r="AR81" i="2" s="1"/>
  <c r="AP82" i="2"/>
  <c r="AQ82" i="2"/>
  <c r="AR82" i="2" s="1"/>
  <c r="AP83" i="2"/>
  <c r="AQ83" i="2" s="1"/>
  <c r="AR83" i="2" s="1"/>
  <c r="AJ83" i="2"/>
  <c r="AK83" i="2"/>
  <c r="AL83" i="2" s="1"/>
  <c r="AM83" i="2" s="1"/>
  <c r="AJ80" i="2"/>
  <c r="AK80" i="2"/>
  <c r="AL80" i="2"/>
  <c r="AM80" i="2"/>
  <c r="AJ81" i="2"/>
  <c r="AK81" i="2"/>
  <c r="AL81" i="2"/>
  <c r="AM81" i="2"/>
  <c r="AJ82" i="2"/>
  <c r="AK82" i="2"/>
  <c r="AL82" i="2" s="1"/>
  <c r="AM82" i="2" s="1"/>
  <c r="AD80" i="2"/>
  <c r="AE80" i="2" s="1"/>
  <c r="AF80" i="2" s="1"/>
  <c r="AG80" i="2" s="1"/>
  <c r="AD81" i="2"/>
  <c r="AE81" i="2" s="1"/>
  <c r="AF81" i="2" s="1"/>
  <c r="AG81" i="2" s="1"/>
  <c r="AD82" i="2"/>
  <c r="AE82" i="2" s="1"/>
  <c r="AF82" i="2" s="1"/>
  <c r="AG82" i="2" s="1"/>
  <c r="AD83" i="2"/>
  <c r="AE83" i="2" s="1"/>
  <c r="AF83" i="2" s="1"/>
  <c r="AG83" i="2" s="1"/>
  <c r="X80" i="2"/>
  <c r="Y80" i="2" s="1"/>
  <c r="Z80" i="2" s="1"/>
  <c r="AA80" i="2" s="1"/>
  <c r="X81" i="2"/>
  <c r="Y81" i="2" s="1"/>
  <c r="Z81" i="2" s="1"/>
  <c r="AA81" i="2" s="1"/>
  <c r="X82" i="2"/>
  <c r="Y82" i="2" s="1"/>
  <c r="Z82" i="2" s="1"/>
  <c r="AA82" i="2" s="1"/>
  <c r="X83" i="2"/>
  <c r="Y83" i="2" s="1"/>
  <c r="Z83" i="2" s="1"/>
  <c r="AA83" i="2" s="1"/>
  <c r="O80" i="2"/>
  <c r="O81" i="2"/>
  <c r="O82" i="2"/>
  <c r="O83" i="2"/>
  <c r="T83" i="2" s="1"/>
  <c r="T79" i="2"/>
  <c r="T80" i="2"/>
  <c r="T81" i="2"/>
  <c r="T82" i="2"/>
  <c r="S80" i="2"/>
  <c r="S81" i="2"/>
  <c r="S82" i="2"/>
  <c r="S83" i="2"/>
  <c r="R80" i="2"/>
  <c r="R81" i="2"/>
  <c r="R82" i="2"/>
  <c r="R83" i="2"/>
  <c r="C79" i="2"/>
  <c r="D79" i="2"/>
  <c r="E79" i="2"/>
  <c r="F79" i="2"/>
  <c r="G79" i="2"/>
  <c r="H79" i="2"/>
  <c r="C80" i="2"/>
  <c r="D80" i="2"/>
  <c r="E80" i="2"/>
  <c r="F80" i="2"/>
  <c r="G80" i="2"/>
  <c r="H80" i="2"/>
  <c r="C81" i="2"/>
  <c r="D81" i="2"/>
  <c r="E81" i="2"/>
  <c r="F81" i="2"/>
  <c r="G81" i="2"/>
  <c r="H81" i="2"/>
  <c r="C82" i="2"/>
  <c r="D82" i="2"/>
  <c r="E82" i="2"/>
  <c r="F82" i="2"/>
  <c r="G82" i="2"/>
  <c r="H82" i="2"/>
  <c r="C83" i="2"/>
  <c r="D83" i="2"/>
  <c r="E83" i="2"/>
  <c r="F83" i="2"/>
  <c r="G83" i="2"/>
  <c r="H83" i="2"/>
  <c r="B80" i="2"/>
  <c r="B81" i="2"/>
  <c r="B82" i="2"/>
  <c r="B83" i="2"/>
  <c r="H84" i="1"/>
  <c r="H85" i="1"/>
  <c r="H86" i="1"/>
  <c r="H87" i="1"/>
  <c r="AJ84" i="4" l="1"/>
  <c r="BD84" i="4" s="1"/>
  <c r="BK84" i="4" s="1"/>
  <c r="D83" i="4"/>
  <c r="K84" i="4"/>
  <c r="Q84" i="4"/>
  <c r="R84" i="4" s="1"/>
  <c r="BA84" i="4" s="1"/>
  <c r="W84" i="4"/>
  <c r="X84" i="4" s="1"/>
  <c r="BB84" i="4" s="1"/>
  <c r="AD84" i="4"/>
  <c r="BC84" i="4" s="1"/>
  <c r="BF84" i="4" s="1"/>
  <c r="AI84" i="4"/>
  <c r="AI83" i="4"/>
  <c r="AO84" i="4"/>
  <c r="AP84" i="4" s="1"/>
  <c r="BE84" i="4" s="1"/>
  <c r="AU84" i="4"/>
  <c r="F83" i="4"/>
  <c r="AC83" i="4" s="1"/>
  <c r="W82" i="4"/>
  <c r="X82" i="4" s="1"/>
  <c r="BB82" i="4" s="1"/>
  <c r="AO83" i="4"/>
  <c r="AU83" i="4"/>
  <c r="L84" i="4"/>
  <c r="AZ84" i="4" s="1"/>
  <c r="F82" i="4"/>
  <c r="AC82" i="4" s="1"/>
  <c r="AD82" i="4" s="1"/>
  <c r="BC82" i="4" s="1"/>
  <c r="N82" i="2"/>
  <c r="N81" i="2"/>
  <c r="BH84" i="4" l="1"/>
  <c r="J82" i="10" s="1"/>
  <c r="F82" i="10"/>
  <c r="G82" i="10" s="1"/>
  <c r="BI84" i="4"/>
  <c r="AV83" i="4"/>
  <c r="Q82" i="4"/>
  <c r="R82" i="4" s="1"/>
  <c r="BA82" i="4" s="1"/>
  <c r="W83" i="4"/>
  <c r="X83" i="4" s="1"/>
  <c r="BB83" i="4" s="1"/>
  <c r="AO82" i="4"/>
  <c r="AP82" i="4" s="1"/>
  <c r="BE82" i="4" s="1"/>
  <c r="AU82" i="4"/>
  <c r="AV82" i="4" s="1"/>
  <c r="AP83" i="4"/>
  <c r="BE83" i="4" s="1"/>
  <c r="K82" i="4"/>
  <c r="L82" i="4" s="1"/>
  <c r="AZ82" i="4" s="1"/>
  <c r="Q83" i="4"/>
  <c r="R83" i="4" s="1"/>
  <c r="BA83" i="4" s="1"/>
  <c r="BI82" i="4"/>
  <c r="AJ83" i="4"/>
  <c r="BD83" i="4" s="1"/>
  <c r="AD83" i="4"/>
  <c r="BC83" i="4" s="1"/>
  <c r="AI82" i="4"/>
  <c r="AJ82" i="4" s="1"/>
  <c r="BD82" i="4" s="1"/>
  <c r="K83" i="4"/>
  <c r="L83" i="4" s="1"/>
  <c r="AZ83" i="4" s="1"/>
  <c r="N80" i="2"/>
  <c r="N83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M80" i="2" s="1"/>
  <c r="U80" i="2" s="1"/>
  <c r="L81" i="2"/>
  <c r="M81" i="2" s="1"/>
  <c r="U81" i="2" s="1"/>
  <c r="L82" i="2"/>
  <c r="M82" i="2" s="1"/>
  <c r="U82" i="2" s="1"/>
  <c r="L5" i="2"/>
  <c r="L6" i="2"/>
  <c r="L7" i="2"/>
  <c r="L8" i="2"/>
  <c r="L9" i="2"/>
  <c r="L10" i="2"/>
  <c r="L11" i="2"/>
  <c r="L4" i="2"/>
  <c r="L83" i="2"/>
  <c r="M83" i="2" s="1"/>
  <c r="U83" i="2" s="1"/>
  <c r="BF83" i="4" l="1"/>
  <c r="BI83" i="4"/>
  <c r="BK82" i="4"/>
  <c r="BF82" i="4"/>
  <c r="P82" i="10"/>
  <c r="K82" i="10"/>
  <c r="R82" i="10" s="1"/>
  <c r="C85" i="7" s="1"/>
  <c r="R85" i="7" s="1"/>
  <c r="BK83" i="4"/>
  <c r="N33" i="7"/>
  <c r="BH82" i="4" l="1"/>
  <c r="J80" i="10" s="1"/>
  <c r="F80" i="10"/>
  <c r="G80" i="10" s="1"/>
  <c r="BH83" i="4"/>
  <c r="J81" i="10" s="1"/>
  <c r="F81" i="10"/>
  <c r="G81" i="10" s="1"/>
  <c r="N45" i="7"/>
  <c r="N13" i="7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2" i="13"/>
  <c r="N10" i="7"/>
  <c r="K80" i="10" l="1"/>
  <c r="R80" i="10" s="1"/>
  <c r="C83" i="7" s="1"/>
  <c r="R83" i="7" s="1"/>
  <c r="P80" i="10"/>
  <c r="K81" i="10"/>
  <c r="R81" i="10" s="1"/>
  <c r="C84" i="7" s="1"/>
  <c r="R84" i="7" s="1"/>
  <c r="P81" i="10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66" i="11"/>
  <c r="G67" i="11"/>
  <c r="G68" i="11"/>
  <c r="G69" i="11"/>
  <c r="G70" i="11"/>
  <c r="G71" i="11"/>
  <c r="G72" i="11"/>
  <c r="G73" i="11"/>
  <c r="G74" i="11"/>
  <c r="G75" i="11"/>
  <c r="G76" i="11"/>
  <c r="G64" i="11"/>
  <c r="G65" i="11"/>
  <c r="G59" i="11"/>
  <c r="G60" i="11"/>
  <c r="G61" i="11"/>
  <c r="G62" i="11"/>
  <c r="G63" i="11"/>
  <c r="G47" i="11"/>
  <c r="G48" i="11"/>
  <c r="G50" i="11"/>
  <c r="G51" i="11"/>
  <c r="G52" i="11"/>
  <c r="G53" i="11"/>
  <c r="G54" i="11"/>
  <c r="G55" i="11"/>
  <c r="G56" i="11"/>
  <c r="G57" i="11"/>
  <c r="G58" i="11"/>
  <c r="G49" i="11"/>
  <c r="K3" i="14" l="1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2" i="14"/>
  <c r="L3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2" i="14"/>
  <c r="N11" i="7"/>
  <c r="N12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4" i="7"/>
  <c r="N35" i="7"/>
  <c r="N36" i="7"/>
  <c r="N37" i="7"/>
  <c r="N38" i="7"/>
  <c r="N39" i="7"/>
  <c r="N40" i="7"/>
  <c r="N41" i="7"/>
  <c r="N42" i="7"/>
  <c r="N43" i="7"/>
  <c r="N44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C7" i="8" l="1"/>
  <c r="C8" i="8"/>
  <c r="C9" i="8"/>
  <c r="C10" i="8"/>
  <c r="G7" i="13" l="1"/>
  <c r="I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6" i="13"/>
  <c r="D13" i="7" l="1"/>
  <c r="BF73" i="4"/>
  <c r="BF72" i="4"/>
  <c r="BF71" i="4"/>
  <c r="BO71" i="2"/>
  <c r="AP75" i="4" l="1"/>
  <c r="BO76" i="2"/>
  <c r="BO75" i="2"/>
  <c r="C74" i="10" s="1"/>
  <c r="E74" i="10" s="1"/>
  <c r="BO74" i="2"/>
  <c r="C73" i="10" s="1"/>
  <c r="E73" i="10" s="1"/>
  <c r="BO73" i="2"/>
  <c r="BO72" i="2"/>
  <c r="C71" i="10" s="1"/>
  <c r="E71" i="10" s="1"/>
  <c r="F69" i="10"/>
  <c r="F70" i="10"/>
  <c r="F71" i="10"/>
  <c r="C70" i="10"/>
  <c r="E70" i="10" s="1"/>
  <c r="C72" i="10"/>
  <c r="E72" i="10" s="1"/>
  <c r="C75" i="10"/>
  <c r="E75" i="10" s="1"/>
  <c r="BO70" i="2"/>
  <c r="C69" i="10" s="1"/>
  <c r="E69" i="10" s="1"/>
  <c r="BO69" i="2"/>
  <c r="C68" i="10" s="1"/>
  <c r="E68" i="10" s="1"/>
  <c r="AY69" i="2"/>
  <c r="AY75" i="2"/>
  <c r="AS73" i="2"/>
  <c r="AS74" i="2"/>
  <c r="AS77" i="2"/>
  <c r="AS78" i="2"/>
  <c r="AS79" i="2"/>
  <c r="AS76" i="2"/>
  <c r="AS75" i="2"/>
  <c r="AM74" i="2" l="1"/>
  <c r="AM45" i="2"/>
  <c r="BL45" i="2" s="1"/>
  <c r="AJ76" i="4"/>
  <c r="AJ77" i="4"/>
  <c r="AJ78" i="4"/>
  <c r="AJ79" i="4"/>
  <c r="AJ80" i="4"/>
  <c r="AJ75" i="4"/>
  <c r="L75" i="4"/>
  <c r="L70" i="4" l="1"/>
  <c r="L45" i="4"/>
  <c r="C6" i="8"/>
  <c r="L6" i="7" s="1"/>
  <c r="C5" i="8"/>
  <c r="P10" i="7" l="1"/>
  <c r="P11" i="7"/>
  <c r="P12" i="7"/>
  <c r="P13" i="7"/>
  <c r="F14" i="8"/>
  <c r="G14" i="8" l="1"/>
  <c r="L24" i="8"/>
  <c r="H6" i="8" s="1"/>
  <c r="G10" i="8" s="1"/>
  <c r="O10" i="7" s="1"/>
  <c r="L33" i="8"/>
  <c r="H9" i="8" s="1"/>
  <c r="G13" i="8" s="1"/>
  <c r="O13" i="7" s="1"/>
  <c r="L30" i="8"/>
  <c r="H8" i="8" s="1"/>
  <c r="G12" i="8" s="1"/>
  <c r="O12" i="7" s="1"/>
  <c r="L27" i="8"/>
  <c r="H7" i="8" s="1"/>
  <c r="G11" i="8" s="1"/>
  <c r="O11" i="7" s="1"/>
  <c r="L36" i="8"/>
  <c r="G10" i="7" l="1"/>
  <c r="K10" i="7" s="1"/>
  <c r="G11" i="7"/>
  <c r="K11" i="7" s="1"/>
  <c r="G12" i="7"/>
  <c r="K12" i="7" s="1"/>
  <c r="D10" i="7"/>
  <c r="F10" i="7" s="1"/>
  <c r="F8" i="7" s="1"/>
  <c r="D11" i="7"/>
  <c r="F11" i="7" s="1"/>
  <c r="D12" i="7"/>
  <c r="F12" i="7" s="1"/>
  <c r="O14" i="7"/>
  <c r="T4" i="6"/>
  <c r="AM4" i="4"/>
  <c r="AM5" i="4"/>
  <c r="AM6" i="4"/>
  <c r="AM7" i="4"/>
  <c r="AM8" i="4"/>
  <c r="AM9" i="4"/>
  <c r="AM10" i="4"/>
  <c r="AM11" i="4"/>
  <c r="AG4" i="4"/>
  <c r="AG5" i="4"/>
  <c r="AG6" i="4"/>
  <c r="AG7" i="4"/>
  <c r="BL7" i="4" s="1"/>
  <c r="AG8" i="4"/>
  <c r="BL8" i="4" s="1"/>
  <c r="AG9" i="4"/>
  <c r="BL9" i="4" s="1"/>
  <c r="AG10" i="4"/>
  <c r="AG11" i="4"/>
  <c r="AA4" i="4"/>
  <c r="AA5" i="4"/>
  <c r="AA6" i="4"/>
  <c r="AA7" i="4"/>
  <c r="AA8" i="4"/>
  <c r="AA9" i="4"/>
  <c r="AA10" i="4"/>
  <c r="AA11" i="4"/>
  <c r="U4" i="4"/>
  <c r="U5" i="4"/>
  <c r="U6" i="4"/>
  <c r="U7" i="4"/>
  <c r="U8" i="4"/>
  <c r="U9" i="4"/>
  <c r="U10" i="4"/>
  <c r="U11" i="4"/>
  <c r="O4" i="4"/>
  <c r="O5" i="4"/>
  <c r="O6" i="4"/>
  <c r="O7" i="4"/>
  <c r="P8" i="4" s="1"/>
  <c r="O8" i="4"/>
  <c r="O9" i="4"/>
  <c r="O10" i="4"/>
  <c r="O11" i="4"/>
  <c r="P11" i="4" s="1"/>
  <c r="I4" i="4"/>
  <c r="I5" i="4"/>
  <c r="I6" i="4"/>
  <c r="BG6" i="4" s="1"/>
  <c r="I7" i="4"/>
  <c r="I8" i="4"/>
  <c r="BJ8" i="4" s="1"/>
  <c r="I9" i="4"/>
  <c r="I10" i="4"/>
  <c r="BG10" i="4" s="1"/>
  <c r="I11" i="4"/>
  <c r="I12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5" i="4"/>
  <c r="B6" i="4"/>
  <c r="B7" i="4"/>
  <c r="B8" i="4"/>
  <c r="B9" i="4"/>
  <c r="B10" i="4"/>
  <c r="B11" i="4"/>
  <c r="B4" i="4"/>
  <c r="T5" i="6"/>
  <c r="T6" i="6"/>
  <c r="T7" i="6"/>
  <c r="T8" i="6"/>
  <c r="T9" i="6"/>
  <c r="T10" i="6"/>
  <c r="T11" i="6"/>
  <c r="T12" i="6"/>
  <c r="Q10" i="7" l="1"/>
  <c r="K8" i="7"/>
  <c r="BL11" i="4"/>
  <c r="AS7" i="4"/>
  <c r="J12" i="4"/>
  <c r="AS5" i="4"/>
  <c r="AS8" i="4"/>
  <c r="BJ9" i="4"/>
  <c r="BJ5" i="4"/>
  <c r="P10" i="4"/>
  <c r="P6" i="4"/>
  <c r="V10" i="4"/>
  <c r="V6" i="4"/>
  <c r="AB10" i="4"/>
  <c r="AB6" i="4"/>
  <c r="AH10" i="4"/>
  <c r="AH6" i="4"/>
  <c r="AN10" i="4"/>
  <c r="AN6" i="4"/>
  <c r="BL5" i="4"/>
  <c r="AS6" i="4"/>
  <c r="BJ11" i="4"/>
  <c r="BJ7" i="4"/>
  <c r="J8" i="4"/>
  <c r="P9" i="4"/>
  <c r="P5" i="4"/>
  <c r="V9" i="4"/>
  <c r="V5" i="4"/>
  <c r="AB9" i="4"/>
  <c r="AB5" i="4"/>
  <c r="AH5" i="4"/>
  <c r="AN9" i="4"/>
  <c r="AN5" i="4"/>
  <c r="V11" i="4"/>
  <c r="V7" i="4"/>
  <c r="AB11" i="4"/>
  <c r="AB7" i="4"/>
  <c r="AN11" i="4"/>
  <c r="AN7" i="4"/>
  <c r="Q12" i="7"/>
  <c r="AS9" i="4"/>
  <c r="AT9" i="4" s="1"/>
  <c r="AT7" i="4"/>
  <c r="AH8" i="4"/>
  <c r="AN8" i="4"/>
  <c r="J9" i="4"/>
  <c r="J5" i="4"/>
  <c r="AH9" i="4"/>
  <c r="AS4" i="4"/>
  <c r="AT5" i="4" s="1"/>
  <c r="BG9" i="4"/>
  <c r="BL10" i="4"/>
  <c r="BL6" i="4"/>
  <c r="BG5" i="4"/>
  <c r="BG8" i="4"/>
  <c r="BJ10" i="4"/>
  <c r="BJ6" i="4"/>
  <c r="H12" i="7"/>
  <c r="V8" i="4"/>
  <c r="AB8" i="4"/>
  <c r="J11" i="4"/>
  <c r="J7" i="4"/>
  <c r="P7" i="4"/>
  <c r="AH11" i="4"/>
  <c r="AH7" i="4"/>
  <c r="BG11" i="4"/>
  <c r="BG7" i="4"/>
  <c r="H11" i="7"/>
  <c r="J10" i="4"/>
  <c r="J6" i="4"/>
  <c r="Q11" i="7"/>
  <c r="H10" i="7"/>
  <c r="F9" i="7" s="1"/>
  <c r="B4" i="2"/>
  <c r="R4" i="2" s="1"/>
  <c r="C4" i="2"/>
  <c r="X4" i="2" s="1"/>
  <c r="D4" i="2"/>
  <c r="AD4" i="2" s="1"/>
  <c r="E4" i="2"/>
  <c r="AJ4" i="2" s="1"/>
  <c r="F4" i="2"/>
  <c r="AP4" i="2" s="1"/>
  <c r="G4" i="2"/>
  <c r="AV4" i="2" s="1"/>
  <c r="B5" i="2"/>
  <c r="R5" i="2" s="1"/>
  <c r="C5" i="2"/>
  <c r="X5" i="2" s="1"/>
  <c r="D5" i="2"/>
  <c r="AD5" i="2" s="1"/>
  <c r="E5" i="2"/>
  <c r="AJ5" i="2" s="1"/>
  <c r="F5" i="2"/>
  <c r="AP5" i="2" s="1"/>
  <c r="G5" i="2"/>
  <c r="AV5" i="2" s="1"/>
  <c r="B6" i="2"/>
  <c r="C6" i="2"/>
  <c r="X6" i="2" s="1"/>
  <c r="D6" i="2"/>
  <c r="AD6" i="2" s="1"/>
  <c r="E6" i="2"/>
  <c r="AJ6" i="2" s="1"/>
  <c r="F6" i="2"/>
  <c r="AP6" i="2" s="1"/>
  <c r="G6" i="2"/>
  <c r="AV6" i="2" s="1"/>
  <c r="B7" i="2"/>
  <c r="R7" i="2" s="1"/>
  <c r="C7" i="2"/>
  <c r="X7" i="2" s="1"/>
  <c r="D7" i="2"/>
  <c r="AD7" i="2" s="1"/>
  <c r="E7" i="2"/>
  <c r="AJ7" i="2" s="1"/>
  <c r="F7" i="2"/>
  <c r="AP7" i="2" s="1"/>
  <c r="G7" i="2"/>
  <c r="AV7" i="2" s="1"/>
  <c r="B8" i="2"/>
  <c r="C8" i="2"/>
  <c r="X8" i="2" s="1"/>
  <c r="D8" i="2"/>
  <c r="AD8" i="2" s="1"/>
  <c r="E8" i="2"/>
  <c r="AJ8" i="2" s="1"/>
  <c r="F8" i="2"/>
  <c r="AP8" i="2" s="1"/>
  <c r="G8" i="2"/>
  <c r="AV8" i="2" s="1"/>
  <c r="B9" i="2"/>
  <c r="C9" i="2"/>
  <c r="X9" i="2" s="1"/>
  <c r="D9" i="2"/>
  <c r="AD9" i="2" s="1"/>
  <c r="E9" i="2"/>
  <c r="AJ9" i="2" s="1"/>
  <c r="F9" i="2"/>
  <c r="AP9" i="2" s="1"/>
  <c r="G9" i="2"/>
  <c r="AV9" i="2" s="1"/>
  <c r="B10" i="2"/>
  <c r="C10" i="2"/>
  <c r="X10" i="2" s="1"/>
  <c r="D10" i="2"/>
  <c r="AD10" i="2" s="1"/>
  <c r="E10" i="2"/>
  <c r="AJ10" i="2" s="1"/>
  <c r="F10" i="2"/>
  <c r="AP10" i="2" s="1"/>
  <c r="G10" i="2"/>
  <c r="AV10" i="2" s="1"/>
  <c r="C3" i="2"/>
  <c r="X3" i="2" s="1"/>
  <c r="D3" i="2"/>
  <c r="AD3" i="2" s="1"/>
  <c r="E3" i="2"/>
  <c r="AJ3" i="2" s="1"/>
  <c r="F3" i="2"/>
  <c r="AP3" i="2" s="1"/>
  <c r="G3" i="2"/>
  <c r="AV3" i="2" s="1"/>
  <c r="B3" i="2"/>
  <c r="R3" i="2" s="1"/>
  <c r="F11" i="2"/>
  <c r="H4" i="1"/>
  <c r="H5" i="1"/>
  <c r="H6" i="1"/>
  <c r="H7" i="1"/>
  <c r="H8" i="1"/>
  <c r="H9" i="1"/>
  <c r="H10" i="1"/>
  <c r="H11" i="1"/>
  <c r="H12" i="1"/>
  <c r="AT6" i="4" l="1"/>
  <c r="K9" i="7"/>
  <c r="AT8" i="4"/>
  <c r="Y6" i="2"/>
  <c r="AW5" i="2"/>
  <c r="AE4" i="2"/>
  <c r="Y10" i="2"/>
  <c r="AQ5" i="2"/>
  <c r="AQ10" i="2"/>
  <c r="AW10" i="2"/>
  <c r="AW6" i="2"/>
  <c r="AE5" i="2"/>
  <c r="AQ6" i="2"/>
  <c r="H7" i="2"/>
  <c r="BB7" i="2" s="1"/>
  <c r="AK9" i="2"/>
  <c r="Y8" i="2"/>
  <c r="AK5" i="2"/>
  <c r="AK6" i="2"/>
  <c r="Y4" i="2"/>
  <c r="AE9" i="2"/>
  <c r="AE10" i="2"/>
  <c r="AK10" i="2"/>
  <c r="H8" i="2"/>
  <c r="BB8" i="2" s="1"/>
  <c r="S4" i="2"/>
  <c r="S5" i="2"/>
  <c r="H9" i="2"/>
  <c r="BB9" i="2" s="1"/>
  <c r="H4" i="2"/>
  <c r="BB4" i="2" s="1"/>
  <c r="AQ9" i="2"/>
  <c r="AK7" i="2"/>
  <c r="AW4" i="2"/>
  <c r="H3" i="2"/>
  <c r="BB3" i="2" s="1"/>
  <c r="R8" i="2"/>
  <c r="AE6" i="2"/>
  <c r="AW7" i="2"/>
  <c r="H10" i="2"/>
  <c r="BB10" i="2" s="1"/>
  <c r="R10" i="2"/>
  <c r="AQ8" i="2"/>
  <c r="AE7" i="2"/>
  <c r="AE8" i="2"/>
  <c r="R6" i="2"/>
  <c r="S7" i="2" s="1"/>
  <c r="H6" i="2"/>
  <c r="BB6" i="2" s="1"/>
  <c r="AQ4" i="2"/>
  <c r="AW9" i="2"/>
  <c r="AK8" i="2"/>
  <c r="Y7" i="2"/>
  <c r="AK4" i="2"/>
  <c r="Y9" i="2"/>
  <c r="Y5" i="2"/>
  <c r="AQ7" i="2"/>
  <c r="AW8" i="2"/>
  <c r="H5" i="2"/>
  <c r="BB5" i="2" s="1"/>
  <c r="R9" i="2"/>
  <c r="BC10" i="2" l="1"/>
  <c r="S9" i="2"/>
  <c r="S8" i="2"/>
  <c r="BC4" i="2"/>
  <c r="BC8" i="2"/>
  <c r="BC5" i="2"/>
  <c r="S10" i="2"/>
  <c r="BC9" i="2"/>
  <c r="BC7" i="2"/>
  <c r="BC6" i="2"/>
  <c r="S6" i="2"/>
  <c r="L3" i="2" l="1"/>
  <c r="D10" i="8"/>
  <c r="D11" i="8"/>
  <c r="D12" i="8"/>
  <c r="N3" i="2"/>
  <c r="E4" i="4" s="1"/>
  <c r="N4" i="2"/>
  <c r="E5" i="4" s="1"/>
  <c r="N5" i="2"/>
  <c r="E6" i="4" s="1"/>
  <c r="N6" i="2"/>
  <c r="E7" i="4" s="1"/>
  <c r="N7" i="2"/>
  <c r="E8" i="4" s="1"/>
  <c r="N8" i="2"/>
  <c r="E9" i="4" s="1"/>
  <c r="N9" i="2"/>
  <c r="E10" i="4" s="1"/>
  <c r="N10" i="2"/>
  <c r="B11" i="2"/>
  <c r="R11" i="2" s="1"/>
  <c r="C11" i="2"/>
  <c r="D11" i="2"/>
  <c r="AD11" i="2" s="1"/>
  <c r="E11" i="2"/>
  <c r="AJ11" i="2" s="1"/>
  <c r="AP11" i="2"/>
  <c r="G11" i="2"/>
  <c r="AV11" i="2" s="1"/>
  <c r="N11" i="2"/>
  <c r="B12" i="2"/>
  <c r="R12" i="2" s="1"/>
  <c r="C12" i="2"/>
  <c r="X12" i="2" s="1"/>
  <c r="D12" i="2"/>
  <c r="AD12" i="2" s="1"/>
  <c r="E12" i="2"/>
  <c r="AJ12" i="2" s="1"/>
  <c r="F12" i="2"/>
  <c r="AP12" i="2" s="1"/>
  <c r="G12" i="2"/>
  <c r="AV12" i="2" s="1"/>
  <c r="N12" i="2"/>
  <c r="O12" i="2" s="1"/>
  <c r="B13" i="2"/>
  <c r="R13" i="2" s="1"/>
  <c r="C13" i="2"/>
  <c r="X13" i="2" s="1"/>
  <c r="D13" i="2"/>
  <c r="AD13" i="2" s="1"/>
  <c r="E13" i="2"/>
  <c r="AJ13" i="2" s="1"/>
  <c r="F13" i="2"/>
  <c r="AP13" i="2" s="1"/>
  <c r="G13" i="2"/>
  <c r="AV13" i="2" s="1"/>
  <c r="N13" i="2"/>
  <c r="O12" i="10" s="1"/>
  <c r="B14" i="2"/>
  <c r="C14" i="2"/>
  <c r="X14" i="2" s="1"/>
  <c r="D14" i="2"/>
  <c r="AD14" i="2" s="1"/>
  <c r="E14" i="2"/>
  <c r="AJ14" i="2" s="1"/>
  <c r="F14" i="2"/>
  <c r="AP14" i="2" s="1"/>
  <c r="G14" i="2"/>
  <c r="AV14" i="2" s="1"/>
  <c r="N14" i="2"/>
  <c r="O14" i="2" s="1"/>
  <c r="B15" i="2"/>
  <c r="C15" i="2"/>
  <c r="X15" i="2" s="1"/>
  <c r="D15" i="2"/>
  <c r="AD15" i="2" s="1"/>
  <c r="E15" i="2"/>
  <c r="AJ15" i="2" s="1"/>
  <c r="F15" i="2"/>
  <c r="AP15" i="2" s="1"/>
  <c r="G15" i="2"/>
  <c r="AV15" i="2" s="1"/>
  <c r="N15" i="2"/>
  <c r="B16" i="2"/>
  <c r="R16" i="2" s="1"/>
  <c r="C16" i="2"/>
  <c r="D16" i="2"/>
  <c r="AD16" i="2" s="1"/>
  <c r="E16" i="2"/>
  <c r="AJ16" i="2" s="1"/>
  <c r="F16" i="2"/>
  <c r="AP16" i="2" s="1"/>
  <c r="G16" i="2"/>
  <c r="AV16" i="2" s="1"/>
  <c r="N16" i="2"/>
  <c r="O16" i="2" s="1"/>
  <c r="B17" i="2"/>
  <c r="C17" i="2"/>
  <c r="X17" i="2" s="1"/>
  <c r="D17" i="2"/>
  <c r="AD17" i="2" s="1"/>
  <c r="E17" i="2"/>
  <c r="AJ17" i="2" s="1"/>
  <c r="F17" i="2"/>
  <c r="AP17" i="2" s="1"/>
  <c r="G17" i="2"/>
  <c r="AV17" i="2" s="1"/>
  <c r="N17" i="2"/>
  <c r="B18" i="2"/>
  <c r="R18" i="2" s="1"/>
  <c r="C18" i="2"/>
  <c r="X18" i="2" s="1"/>
  <c r="D18" i="2"/>
  <c r="AD18" i="2" s="1"/>
  <c r="AE18" i="2" s="1"/>
  <c r="E18" i="2"/>
  <c r="AJ18" i="2" s="1"/>
  <c r="F18" i="2"/>
  <c r="AP18" i="2" s="1"/>
  <c r="G18" i="2"/>
  <c r="AV18" i="2" s="1"/>
  <c r="N18" i="2"/>
  <c r="AQ17" i="2" l="1"/>
  <c r="F10" i="4"/>
  <c r="AI10" i="4" s="1"/>
  <c r="O11" i="2"/>
  <c r="O10" i="2" s="1"/>
  <c r="M18" i="2"/>
  <c r="D20" i="8"/>
  <c r="M17" i="2"/>
  <c r="D19" i="8"/>
  <c r="M16" i="2"/>
  <c r="D18" i="8"/>
  <c r="M15" i="2"/>
  <c r="D17" i="8"/>
  <c r="M14" i="2"/>
  <c r="D16" i="8"/>
  <c r="M13" i="2"/>
  <c r="D15" i="8"/>
  <c r="M12" i="2"/>
  <c r="D14" i="8"/>
  <c r="M11" i="2"/>
  <c r="D13" i="8"/>
  <c r="F6" i="4"/>
  <c r="AU6" i="4" s="1"/>
  <c r="F7" i="4"/>
  <c r="W7" i="4" s="1"/>
  <c r="S12" i="2"/>
  <c r="T12" i="2" s="1"/>
  <c r="M6" i="2"/>
  <c r="C7" i="4"/>
  <c r="D7" i="4" s="1"/>
  <c r="M5" i="2"/>
  <c r="C6" i="4"/>
  <c r="D6" i="4" s="1"/>
  <c r="F5" i="4"/>
  <c r="M4" i="2"/>
  <c r="C5" i="4"/>
  <c r="D5" i="4" s="1"/>
  <c r="M3" i="2"/>
  <c r="C4" i="4"/>
  <c r="D4" i="4" s="1"/>
  <c r="B12" i="7"/>
  <c r="I12" i="7" s="1"/>
  <c r="E11" i="4"/>
  <c r="M10" i="2"/>
  <c r="C11" i="4"/>
  <c r="D11" i="4" s="1"/>
  <c r="M9" i="2"/>
  <c r="C10" i="4"/>
  <c r="D10" i="4" s="1"/>
  <c r="F9" i="4"/>
  <c r="M8" i="2"/>
  <c r="C9" i="4"/>
  <c r="D9" i="4" s="1"/>
  <c r="F8" i="4"/>
  <c r="M7" i="2"/>
  <c r="C8" i="4"/>
  <c r="D8" i="4" s="1"/>
  <c r="AE11" i="2"/>
  <c r="AF11" i="2" s="1"/>
  <c r="B8" i="7"/>
  <c r="O6" i="2"/>
  <c r="B7" i="7"/>
  <c r="O5" i="2"/>
  <c r="S11" i="2"/>
  <c r="B6" i="7"/>
  <c r="O4" i="2"/>
  <c r="AW11" i="2"/>
  <c r="AX11" i="2" s="1"/>
  <c r="B11" i="7"/>
  <c r="I11" i="7" s="1"/>
  <c r="O9" i="2"/>
  <c r="AQ11" i="2"/>
  <c r="B10" i="7"/>
  <c r="I10" i="7" s="1"/>
  <c r="O8" i="2"/>
  <c r="AK11" i="2"/>
  <c r="B9" i="7"/>
  <c r="O7" i="2"/>
  <c r="X11" i="2"/>
  <c r="H11" i="2"/>
  <c r="BB11" i="2" s="1"/>
  <c r="AE12" i="2"/>
  <c r="AW14" i="2"/>
  <c r="O15" i="2"/>
  <c r="AK15" i="2"/>
  <c r="O13" i="2"/>
  <c r="AW15" i="2"/>
  <c r="AK12" i="2"/>
  <c r="AW12" i="2"/>
  <c r="AW16" i="2"/>
  <c r="AX16" i="2" s="1"/>
  <c r="AK16" i="2"/>
  <c r="AL16" i="2" s="1"/>
  <c r="H12" i="2"/>
  <c r="BB12" i="2" s="1"/>
  <c r="AE15" i="2"/>
  <c r="AK13" i="2"/>
  <c r="AL13" i="2" s="1"/>
  <c r="AK14" i="2"/>
  <c r="AE16" i="2"/>
  <c r="AF16" i="2" s="1"/>
  <c r="AE13" i="2"/>
  <c r="O17" i="2"/>
  <c r="AR17" i="2" s="1"/>
  <c r="H16" i="2"/>
  <c r="BB16" i="2" s="1"/>
  <c r="H14" i="2"/>
  <c r="BB14" i="2" s="1"/>
  <c r="Y13" i="2"/>
  <c r="AK17" i="2"/>
  <c r="AQ12" i="2"/>
  <c r="AQ16" i="2"/>
  <c r="AR16" i="2" s="1"/>
  <c r="AQ13" i="2"/>
  <c r="S13" i="2"/>
  <c r="H17" i="2"/>
  <c r="BB17" i="2" s="1"/>
  <c r="Y15" i="2"/>
  <c r="AW17" i="2"/>
  <c r="O18" i="2"/>
  <c r="AF18" i="2" s="1"/>
  <c r="H15" i="2"/>
  <c r="BB15" i="2" s="1"/>
  <c r="AW13" i="2"/>
  <c r="H13" i="2"/>
  <c r="BB13" i="2" s="1"/>
  <c r="AW18" i="2"/>
  <c r="AE17" i="2"/>
  <c r="X16" i="2"/>
  <c r="Y16" i="2" s="1"/>
  <c r="Z16" i="2" s="1"/>
  <c r="AE14" i="2"/>
  <c r="H18" i="2"/>
  <c r="BB18" i="2" s="1"/>
  <c r="Y18" i="2"/>
  <c r="AQ15" i="2"/>
  <c r="AQ14" i="2"/>
  <c r="AQ18" i="2"/>
  <c r="AK18" i="2"/>
  <c r="R17" i="2"/>
  <c r="S17" i="2" s="1"/>
  <c r="R15" i="2"/>
  <c r="R14" i="2"/>
  <c r="S14" i="2" s="1"/>
  <c r="Y14" i="2"/>
  <c r="L7" i="7"/>
  <c r="L8" i="7"/>
  <c r="L9" i="7"/>
  <c r="L10" i="7"/>
  <c r="C11" i="8"/>
  <c r="L11" i="7" s="1"/>
  <c r="C12" i="8"/>
  <c r="L12" i="7" s="1"/>
  <c r="AS17" i="2" l="1"/>
  <c r="BM17" i="2" s="1"/>
  <c r="AG18" i="2"/>
  <c r="BK18" i="2" s="1"/>
  <c r="AS16" i="2"/>
  <c r="BM16" i="2" s="1"/>
  <c r="AG16" i="2"/>
  <c r="BK16" i="2" s="1"/>
  <c r="W10" i="4"/>
  <c r="X10" i="4" s="1"/>
  <c r="BB10" i="4" s="1"/>
  <c r="U12" i="2"/>
  <c r="BI12" i="2" s="1"/>
  <c r="AA16" i="2"/>
  <c r="BJ16" i="2" s="1"/>
  <c r="AO6" i="4"/>
  <c r="AP6" i="4" s="1"/>
  <c r="BE6" i="4" s="1"/>
  <c r="AM16" i="2"/>
  <c r="BL16" i="2" s="1"/>
  <c r="AY16" i="2"/>
  <c r="BN16" i="2" s="1"/>
  <c r="AR11" i="2"/>
  <c r="AS11" i="2" s="1"/>
  <c r="BM11" i="2" s="1"/>
  <c r="AC6" i="4"/>
  <c r="AD6" i="4" s="1"/>
  <c r="BC6" i="4" s="1"/>
  <c r="K10" i="4"/>
  <c r="K6" i="4"/>
  <c r="AM13" i="2"/>
  <c r="BL13" i="2" s="1"/>
  <c r="AY11" i="2"/>
  <c r="BN11" i="2" s="1"/>
  <c r="AG11" i="2"/>
  <c r="BK11" i="2" s="1"/>
  <c r="Q10" i="4"/>
  <c r="R10" i="4" s="1"/>
  <c r="BA10" i="4" s="1"/>
  <c r="AL15" i="2"/>
  <c r="AM15" i="2" s="1"/>
  <c r="BL15" i="2" s="1"/>
  <c r="AL11" i="2"/>
  <c r="AM11" i="2" s="1"/>
  <c r="BL11" i="2" s="1"/>
  <c r="AC10" i="4"/>
  <c r="AI6" i="4"/>
  <c r="AO10" i="4"/>
  <c r="AP10" i="4" s="1"/>
  <c r="BE10" i="4" s="1"/>
  <c r="Q6" i="4"/>
  <c r="AO7" i="4"/>
  <c r="AP7" i="4" s="1"/>
  <c r="BE7" i="4" s="1"/>
  <c r="AU7" i="4"/>
  <c r="AX10" i="2"/>
  <c r="AY10" i="2" s="1"/>
  <c r="BN10" i="2" s="1"/>
  <c r="AL10" i="2"/>
  <c r="AM10" i="2" s="1"/>
  <c r="BL10" i="2" s="1"/>
  <c r="AR10" i="2"/>
  <c r="AS10" i="2" s="1"/>
  <c r="BM10" i="2" s="1"/>
  <c r="BD10" i="2"/>
  <c r="BE10" i="2" s="1"/>
  <c r="Z10" i="2"/>
  <c r="AA10" i="2" s="1"/>
  <c r="BJ10" i="2" s="1"/>
  <c r="T10" i="2"/>
  <c r="U10" i="2" s="1"/>
  <c r="BI10" i="2" s="1"/>
  <c r="AF10" i="2"/>
  <c r="AG10" i="2" s="1"/>
  <c r="BK10" i="2" s="1"/>
  <c r="W6" i="4"/>
  <c r="AF15" i="2"/>
  <c r="AG15" i="2" s="1"/>
  <c r="BK15" i="2" s="1"/>
  <c r="T11" i="2"/>
  <c r="U11" i="2" s="1"/>
  <c r="BI11" i="2" s="1"/>
  <c r="Q7" i="4"/>
  <c r="R7" i="4" s="1"/>
  <c r="BA7" i="4" s="1"/>
  <c r="X7" i="4"/>
  <c r="BB7" i="4" s="1"/>
  <c r="L10" i="4"/>
  <c r="AZ10" i="4" s="1"/>
  <c r="AC7" i="4"/>
  <c r="AD7" i="4" s="1"/>
  <c r="BC7" i="4" s="1"/>
  <c r="AI7" i="4"/>
  <c r="AJ7" i="4" s="1"/>
  <c r="BD7" i="4" s="1"/>
  <c r="K7" i="4"/>
  <c r="L7" i="4" s="1"/>
  <c r="AZ7" i="4" s="1"/>
  <c r="AJ6" i="4"/>
  <c r="BD6" i="4" s="1"/>
  <c r="K8" i="4"/>
  <c r="L8" i="4" s="1"/>
  <c r="AZ8" i="4" s="1"/>
  <c r="AO8" i="4"/>
  <c r="AP8" i="4" s="1"/>
  <c r="BE8" i="4" s="1"/>
  <c r="W8" i="4"/>
  <c r="X8" i="4" s="1"/>
  <c r="BB8" i="4" s="1"/>
  <c r="AU8" i="4"/>
  <c r="AV8" i="4" s="1"/>
  <c r="AC8" i="4"/>
  <c r="AD8" i="4" s="1"/>
  <c r="BC8" i="4" s="1"/>
  <c r="AI8" i="4"/>
  <c r="AJ8" i="4" s="1"/>
  <c r="BD8" i="4" s="1"/>
  <c r="Q8" i="4"/>
  <c r="R8" i="4" s="1"/>
  <c r="BA8" i="4" s="1"/>
  <c r="AJ10" i="4"/>
  <c r="BD10" i="4" s="1"/>
  <c r="AU5" i="4"/>
  <c r="AV5" i="4" s="1"/>
  <c r="AO5" i="4"/>
  <c r="AP5" i="4" s="1"/>
  <c r="BE5" i="4" s="1"/>
  <c r="W5" i="4"/>
  <c r="X5" i="4" s="1"/>
  <c r="BB5" i="4" s="1"/>
  <c r="Q5" i="4"/>
  <c r="R5" i="4" s="1"/>
  <c r="BA5" i="4" s="1"/>
  <c r="K5" i="4"/>
  <c r="L5" i="4" s="1"/>
  <c r="AZ5" i="4" s="1"/>
  <c r="AI5" i="4"/>
  <c r="AJ5" i="4" s="1"/>
  <c r="BD5" i="4" s="1"/>
  <c r="AC5" i="4"/>
  <c r="AD5" i="4" s="1"/>
  <c r="BC5" i="4" s="1"/>
  <c r="AV7" i="4"/>
  <c r="L6" i="4"/>
  <c r="AZ6" i="4" s="1"/>
  <c r="X6" i="4"/>
  <c r="BB6" i="4" s="1"/>
  <c r="AV6" i="4"/>
  <c r="R6" i="4"/>
  <c r="BA6" i="4" s="1"/>
  <c r="AU9" i="4"/>
  <c r="AV9" i="4" s="1"/>
  <c r="W9" i="4"/>
  <c r="X9" i="4" s="1"/>
  <c r="BB9" i="4" s="1"/>
  <c r="Q9" i="4"/>
  <c r="R9" i="4" s="1"/>
  <c r="BA9" i="4" s="1"/>
  <c r="AC9" i="4"/>
  <c r="AD9" i="4" s="1"/>
  <c r="BC9" i="4" s="1"/>
  <c r="K9" i="4"/>
  <c r="L9" i="4" s="1"/>
  <c r="AZ9" i="4" s="1"/>
  <c r="AI9" i="4"/>
  <c r="AJ9" i="4" s="1"/>
  <c r="BD9" i="4" s="1"/>
  <c r="AO9" i="4"/>
  <c r="AP9" i="4" s="1"/>
  <c r="BE9" i="4" s="1"/>
  <c r="AD10" i="4"/>
  <c r="BC10" i="4" s="1"/>
  <c r="AR15" i="2"/>
  <c r="AS15" i="2" s="1"/>
  <c r="BM15" i="2" s="1"/>
  <c r="AF9" i="2"/>
  <c r="AG9" i="2" s="1"/>
  <c r="BK9" i="2" s="1"/>
  <c r="AL9" i="2"/>
  <c r="AM9" i="2" s="1"/>
  <c r="BL9" i="2" s="1"/>
  <c r="AR9" i="2"/>
  <c r="AS9" i="2" s="1"/>
  <c r="BM9" i="2" s="1"/>
  <c r="Z9" i="2"/>
  <c r="AA9" i="2" s="1"/>
  <c r="BJ9" i="2" s="1"/>
  <c r="AX9" i="2"/>
  <c r="AY9" i="2" s="1"/>
  <c r="BN9" i="2" s="1"/>
  <c r="T9" i="2"/>
  <c r="U9" i="2" s="1"/>
  <c r="BI9" i="2" s="1"/>
  <c r="BD9" i="2"/>
  <c r="BE9" i="2" s="1"/>
  <c r="BC11" i="2"/>
  <c r="AF4" i="2"/>
  <c r="AG4" i="2" s="1"/>
  <c r="BK4" i="2" s="1"/>
  <c r="AL4" i="2"/>
  <c r="AM4" i="2" s="1"/>
  <c r="BL4" i="2" s="1"/>
  <c r="AR4" i="2"/>
  <c r="AS4" i="2" s="1"/>
  <c r="BM4" i="2" s="1"/>
  <c r="AX4" i="2"/>
  <c r="AY4" i="2" s="1"/>
  <c r="BN4" i="2" s="1"/>
  <c r="T4" i="2"/>
  <c r="U4" i="2" s="1"/>
  <c r="BI4" i="2" s="1"/>
  <c r="Z4" i="2"/>
  <c r="AA4" i="2" s="1"/>
  <c r="BJ4" i="2" s="1"/>
  <c r="BD4" i="2"/>
  <c r="BE4" i="2" s="1"/>
  <c r="Y11" i="2"/>
  <c r="Z11" i="2" s="1"/>
  <c r="AA11" i="2" s="1"/>
  <c r="BJ11" i="2" s="1"/>
  <c r="Y12" i="2"/>
  <c r="Z12" i="2" s="1"/>
  <c r="AA12" i="2" s="1"/>
  <c r="BJ12" i="2" s="1"/>
  <c r="AX5" i="2"/>
  <c r="AY5" i="2" s="1"/>
  <c r="BN5" i="2" s="1"/>
  <c r="AF5" i="2"/>
  <c r="AG5" i="2" s="1"/>
  <c r="BK5" i="2" s="1"/>
  <c r="AR5" i="2"/>
  <c r="AS5" i="2" s="1"/>
  <c r="BM5" i="2" s="1"/>
  <c r="Z5" i="2"/>
  <c r="AA5" i="2" s="1"/>
  <c r="BJ5" i="2" s="1"/>
  <c r="T5" i="2"/>
  <c r="U5" i="2" s="1"/>
  <c r="BI5" i="2" s="1"/>
  <c r="AL5" i="2"/>
  <c r="AM5" i="2" s="1"/>
  <c r="BL5" i="2" s="1"/>
  <c r="BD5" i="2"/>
  <c r="BE5" i="2" s="1"/>
  <c r="AX6" i="2"/>
  <c r="AY6" i="2" s="1"/>
  <c r="BN6" i="2" s="1"/>
  <c r="AR6" i="2"/>
  <c r="AS6" i="2" s="1"/>
  <c r="BM6" i="2" s="1"/>
  <c r="Z6" i="2"/>
  <c r="AA6" i="2" s="1"/>
  <c r="BJ6" i="2" s="1"/>
  <c r="AL6" i="2"/>
  <c r="AM6" i="2" s="1"/>
  <c r="BL6" i="2" s="1"/>
  <c r="AF6" i="2"/>
  <c r="AG6" i="2" s="1"/>
  <c r="BK6" i="2" s="1"/>
  <c r="BD6" i="2"/>
  <c r="BE6" i="2" s="1"/>
  <c r="T6" i="2"/>
  <c r="U6" i="2" s="1"/>
  <c r="BI6" i="2" s="1"/>
  <c r="Z15" i="2"/>
  <c r="AA15" i="2" s="1"/>
  <c r="BJ15" i="2" s="1"/>
  <c r="AR7" i="2"/>
  <c r="AS7" i="2" s="1"/>
  <c r="BM7" i="2" s="1"/>
  <c r="T7" i="2"/>
  <c r="U7" i="2" s="1"/>
  <c r="BI7" i="2" s="1"/>
  <c r="AF7" i="2"/>
  <c r="AG7" i="2" s="1"/>
  <c r="BK7" i="2" s="1"/>
  <c r="AL7" i="2"/>
  <c r="AM7" i="2" s="1"/>
  <c r="BL7" i="2" s="1"/>
  <c r="Z7" i="2"/>
  <c r="AA7" i="2" s="1"/>
  <c r="BJ7" i="2" s="1"/>
  <c r="AX7" i="2"/>
  <c r="AY7" i="2" s="1"/>
  <c r="BN7" i="2" s="1"/>
  <c r="BD7" i="2"/>
  <c r="BE7" i="2" s="1"/>
  <c r="AX8" i="2"/>
  <c r="AY8" i="2" s="1"/>
  <c r="BN8" i="2" s="1"/>
  <c r="Z8" i="2"/>
  <c r="AA8" i="2" s="1"/>
  <c r="BJ8" i="2" s="1"/>
  <c r="AL8" i="2"/>
  <c r="AM8" i="2" s="1"/>
  <c r="BL8" i="2" s="1"/>
  <c r="AF8" i="2"/>
  <c r="AG8" i="2" s="1"/>
  <c r="BK8" i="2" s="1"/>
  <c r="AR8" i="2"/>
  <c r="AS8" i="2" s="1"/>
  <c r="BM8" i="2" s="1"/>
  <c r="BD8" i="2"/>
  <c r="BE8" i="2" s="1"/>
  <c r="T8" i="2"/>
  <c r="U8" i="2" s="1"/>
  <c r="BI8" i="2" s="1"/>
  <c r="BC17" i="2"/>
  <c r="BD17" i="2" s="1"/>
  <c r="BE17" i="2" s="1"/>
  <c r="T13" i="2"/>
  <c r="U13" i="2" s="1"/>
  <c r="BI13" i="2" s="1"/>
  <c r="AX15" i="2"/>
  <c r="AY15" i="2" s="1"/>
  <c r="BN15" i="2" s="1"/>
  <c r="AF12" i="2"/>
  <c r="AG12" i="2" s="1"/>
  <c r="BK12" i="2" s="1"/>
  <c r="AL12" i="2"/>
  <c r="AM12" i="2" s="1"/>
  <c r="BL12" i="2" s="1"/>
  <c r="AX12" i="2"/>
  <c r="AY12" i="2" s="1"/>
  <c r="BN12" i="2" s="1"/>
  <c r="T17" i="2"/>
  <c r="U17" i="2" s="1"/>
  <c r="BI17" i="2" s="1"/>
  <c r="AX17" i="2"/>
  <c r="AY17" i="2" s="1"/>
  <c r="BN17" i="2" s="1"/>
  <c r="AR13" i="2"/>
  <c r="AS13" i="2" s="1"/>
  <c r="BM13" i="2" s="1"/>
  <c r="AR12" i="2"/>
  <c r="AS12" i="2" s="1"/>
  <c r="BM12" i="2" s="1"/>
  <c r="Z13" i="2"/>
  <c r="AA13" i="2" s="1"/>
  <c r="BJ13" i="2" s="1"/>
  <c r="AF13" i="2"/>
  <c r="AG13" i="2" s="1"/>
  <c r="BK13" i="2" s="1"/>
  <c r="AF17" i="2"/>
  <c r="AG17" i="2" s="1"/>
  <c r="BK17" i="2" s="1"/>
  <c r="AX13" i="2"/>
  <c r="AY13" i="2" s="1"/>
  <c r="BN13" i="2" s="1"/>
  <c r="AL17" i="2"/>
  <c r="AM17" i="2" s="1"/>
  <c r="BL17" i="2" s="1"/>
  <c r="BC16" i="2"/>
  <c r="BD16" i="2" s="1"/>
  <c r="BE16" i="2" s="1"/>
  <c r="BC18" i="2"/>
  <c r="AL14" i="2"/>
  <c r="AM14" i="2" s="1"/>
  <c r="BL14" i="2" s="1"/>
  <c r="BC15" i="2"/>
  <c r="BD15" i="2" s="1"/>
  <c r="BE15" i="2" s="1"/>
  <c r="BC12" i="2"/>
  <c r="BD12" i="2" s="1"/>
  <c r="BE12" i="2" s="1"/>
  <c r="BC14" i="2"/>
  <c r="BD14" i="2" s="1"/>
  <c r="BE14" i="2" s="1"/>
  <c r="T14" i="2"/>
  <c r="U14" i="2" s="1"/>
  <c r="BI14" i="2" s="1"/>
  <c r="Z18" i="2"/>
  <c r="AA18" i="2" s="1"/>
  <c r="BJ18" i="2" s="1"/>
  <c r="AX14" i="2"/>
  <c r="AY14" i="2" s="1"/>
  <c r="BN14" i="2" s="1"/>
  <c r="BD18" i="2"/>
  <c r="BE18" i="2" s="1"/>
  <c r="Z14" i="2"/>
  <c r="AA14" i="2" s="1"/>
  <c r="BJ14" i="2" s="1"/>
  <c r="AR14" i="2"/>
  <c r="AS14" i="2" s="1"/>
  <c r="BM14" i="2" s="1"/>
  <c r="AF14" i="2"/>
  <c r="AG14" i="2" s="1"/>
  <c r="BK14" i="2" s="1"/>
  <c r="BC13" i="2"/>
  <c r="BD13" i="2" s="1"/>
  <c r="BE13" i="2" s="1"/>
  <c r="Y17" i="2"/>
  <c r="Z17" i="2" s="1"/>
  <c r="AA17" i="2" s="1"/>
  <c r="BJ17" i="2" s="1"/>
  <c r="AR18" i="2"/>
  <c r="AS18" i="2" s="1"/>
  <c r="BM18" i="2" s="1"/>
  <c r="AL18" i="2"/>
  <c r="AM18" i="2" s="1"/>
  <c r="BL18" i="2" s="1"/>
  <c r="AX18" i="2"/>
  <c r="AY18" i="2" s="1"/>
  <c r="BN18" i="2" s="1"/>
  <c r="S15" i="2"/>
  <c r="T15" i="2" s="1"/>
  <c r="U15" i="2" s="1"/>
  <c r="BI15" i="2" s="1"/>
  <c r="S18" i="2"/>
  <c r="T18" i="2" s="1"/>
  <c r="U18" i="2" s="1"/>
  <c r="BI18" i="2" s="1"/>
  <c r="S16" i="2"/>
  <c r="T16" i="2" s="1"/>
  <c r="U16" i="2" s="1"/>
  <c r="BI16" i="2" s="1"/>
  <c r="C74" i="8"/>
  <c r="BO16" i="2" l="1"/>
  <c r="C15" i="10" s="1"/>
  <c r="E15" i="10" s="1"/>
  <c r="BO10" i="2"/>
  <c r="C9" i="10" s="1"/>
  <c r="E9" i="10" s="1"/>
  <c r="BK6" i="4"/>
  <c r="BF8" i="4"/>
  <c r="F6" i="10" s="1"/>
  <c r="BO11" i="2"/>
  <c r="C10" i="10" s="1"/>
  <c r="E10" i="10" s="1"/>
  <c r="BD11" i="2"/>
  <c r="BE11" i="2" s="1"/>
  <c r="BK9" i="4"/>
  <c r="BK7" i="4"/>
  <c r="BF7" i="4"/>
  <c r="F5" i="10" s="1"/>
  <c r="BF10" i="4"/>
  <c r="F8" i="10" s="1"/>
  <c r="BI10" i="4"/>
  <c r="BI7" i="4"/>
  <c r="BO4" i="2"/>
  <c r="C3" i="10" s="1"/>
  <c r="E3" i="10" s="1"/>
  <c r="BF6" i="4"/>
  <c r="F4" i="10" s="1"/>
  <c r="BF9" i="4"/>
  <c r="F7" i="10" s="1"/>
  <c r="BK10" i="4"/>
  <c r="BI5" i="4"/>
  <c r="BF5" i="4"/>
  <c r="F3" i="10" s="1"/>
  <c r="BK5" i="4"/>
  <c r="BK8" i="4"/>
  <c r="BI6" i="4"/>
  <c r="BI8" i="4"/>
  <c r="BI9" i="4"/>
  <c r="BO15" i="2"/>
  <c r="C14" i="10" s="1"/>
  <c r="E14" i="10" s="1"/>
  <c r="BO7" i="2"/>
  <c r="BO9" i="2"/>
  <c r="BO12" i="2"/>
  <c r="C11" i="10" s="1"/>
  <c r="E11" i="10" s="1"/>
  <c r="BO8" i="2"/>
  <c r="BO6" i="2"/>
  <c r="BO5" i="2"/>
  <c r="BO13" i="2"/>
  <c r="C12" i="10" s="1"/>
  <c r="E12" i="10" s="1"/>
  <c r="BO17" i="2"/>
  <c r="C16" i="10" s="1"/>
  <c r="E16" i="10" s="1"/>
  <c r="BO14" i="2"/>
  <c r="C13" i="10" s="1"/>
  <c r="E13" i="10" s="1"/>
  <c r="BO18" i="2"/>
  <c r="C17" i="10" s="1"/>
  <c r="E17" i="10" s="1"/>
  <c r="G13" i="7"/>
  <c r="K13" i="7" l="1"/>
  <c r="H13" i="7"/>
  <c r="BH7" i="4"/>
  <c r="J5" i="10" s="1"/>
  <c r="C4" i="10"/>
  <c r="E4" i="10" s="1"/>
  <c r="G4" i="10" s="1"/>
  <c r="C5" i="10"/>
  <c r="E5" i="10" s="1"/>
  <c r="G5" i="10" s="1"/>
  <c r="P5" i="10" s="1"/>
  <c r="C6" i="10"/>
  <c r="E6" i="10" s="1"/>
  <c r="G6" i="10" s="1"/>
  <c r="C8" i="10"/>
  <c r="E8" i="10" s="1"/>
  <c r="G8" i="10" s="1"/>
  <c r="P8" i="10" s="1"/>
  <c r="C7" i="10"/>
  <c r="E7" i="10" s="1"/>
  <c r="G7" i="10" s="1"/>
  <c r="BH10" i="4"/>
  <c r="J8" i="10" s="1"/>
  <c r="BH6" i="4"/>
  <c r="J4" i="10" s="1"/>
  <c r="BH9" i="4"/>
  <c r="J7" i="10" s="1"/>
  <c r="BH8" i="4"/>
  <c r="J6" i="10" s="1"/>
  <c r="G3" i="10"/>
  <c r="BH5" i="4"/>
  <c r="J3" i="10" s="1"/>
  <c r="F13" i="7"/>
  <c r="AM12" i="4"/>
  <c r="AN12" i="4" s="1"/>
  <c r="AG12" i="4"/>
  <c r="AA12" i="4"/>
  <c r="AB12" i="4" s="1"/>
  <c r="U12" i="4"/>
  <c r="V12" i="4" s="1"/>
  <c r="O12" i="4"/>
  <c r="I13" i="4"/>
  <c r="J13" i="4" s="1"/>
  <c r="E12" i="4"/>
  <c r="F12" i="4" s="1"/>
  <c r="C12" i="4"/>
  <c r="D12" i="4" s="1"/>
  <c r="Q13" i="7" l="1"/>
  <c r="K8" i="10"/>
  <c r="R8" i="10" s="1"/>
  <c r="C11" i="7" s="1"/>
  <c r="R11" i="7" s="1"/>
  <c r="BL12" i="4"/>
  <c r="AH12" i="4"/>
  <c r="P12" i="4"/>
  <c r="Q12" i="4" s="1"/>
  <c r="R12" i="4" s="1"/>
  <c r="BA12" i="4" s="1"/>
  <c r="BJ12" i="4"/>
  <c r="BG12" i="4"/>
  <c r="K5" i="10"/>
  <c r="R5" i="10" s="1"/>
  <c r="C8" i="7" s="1"/>
  <c r="K7" i="10"/>
  <c r="R7" i="10" s="1"/>
  <c r="C10" i="7" s="1"/>
  <c r="R10" i="7" s="1"/>
  <c r="P7" i="10"/>
  <c r="P6" i="10"/>
  <c r="K6" i="10"/>
  <c r="R6" i="10" s="1"/>
  <c r="C9" i="7" s="1"/>
  <c r="P4" i="10"/>
  <c r="K4" i="10"/>
  <c r="R4" i="10" s="1"/>
  <c r="C7" i="7" s="1"/>
  <c r="AI12" i="4"/>
  <c r="AJ12" i="4" s="1"/>
  <c r="BD12" i="4" s="1"/>
  <c r="K12" i="4"/>
  <c r="L12" i="4" s="1"/>
  <c r="AZ12" i="4" s="1"/>
  <c r="W12" i="4"/>
  <c r="X12" i="4" s="1"/>
  <c r="BB12" i="4" s="1"/>
  <c r="F11" i="4"/>
  <c r="AC12" i="4"/>
  <c r="AD12" i="4" s="1"/>
  <c r="BC12" i="4" s="1"/>
  <c r="AO12" i="4"/>
  <c r="AP12" i="4" s="1"/>
  <c r="BE12" i="4" s="1"/>
  <c r="P3" i="10"/>
  <c r="K3" i="10"/>
  <c r="R3" i="10" s="1"/>
  <c r="C6" i="7" s="1"/>
  <c r="B13" i="7"/>
  <c r="I13" i="7" s="1"/>
  <c r="C13" i="8"/>
  <c r="L13" i="7" s="1"/>
  <c r="C14" i="8"/>
  <c r="L14" i="7" s="1"/>
  <c r="BF12" i="4" l="1"/>
  <c r="BK12" i="4"/>
  <c r="BI12" i="4"/>
  <c r="AO11" i="4"/>
  <c r="AP11" i="4" s="1"/>
  <c r="BE11" i="4" s="1"/>
  <c r="AI11" i="4"/>
  <c r="AJ11" i="4" s="1"/>
  <c r="BD11" i="4" s="1"/>
  <c r="K11" i="4"/>
  <c r="L11" i="4" s="1"/>
  <c r="AZ11" i="4" s="1"/>
  <c r="AC11" i="4"/>
  <c r="AD11" i="4" s="1"/>
  <c r="BC11" i="4" s="1"/>
  <c r="W11" i="4"/>
  <c r="X11" i="4" s="1"/>
  <c r="BB11" i="4" s="1"/>
  <c r="Q11" i="4"/>
  <c r="R11" i="4" s="1"/>
  <c r="BA11" i="4" s="1"/>
  <c r="BK11" i="4" l="1"/>
  <c r="F10" i="10"/>
  <c r="G10" i="10" s="1"/>
  <c r="BF11" i="4"/>
  <c r="F9" i="10" s="1"/>
  <c r="BH12" i="4"/>
  <c r="J10" i="10" s="1"/>
  <c r="BI11" i="4"/>
  <c r="G74" i="7"/>
  <c r="P10" i="10" l="1"/>
  <c r="K10" i="10"/>
  <c r="G9" i="10"/>
  <c r="K9" i="10" s="1"/>
  <c r="BH11" i="4"/>
  <c r="J9" i="10" s="1"/>
  <c r="K74" i="7"/>
  <c r="G81" i="7"/>
  <c r="D81" i="7"/>
  <c r="F81" i="7" s="1"/>
  <c r="D80" i="7"/>
  <c r="F80" i="7" s="1"/>
  <c r="H81" i="8"/>
  <c r="P125" i="8"/>
  <c r="H80" i="8" s="1"/>
  <c r="U103" i="8"/>
  <c r="F81" i="8" s="1"/>
  <c r="P81" i="7" s="1"/>
  <c r="L81" i="7"/>
  <c r="M78" i="10"/>
  <c r="M77" i="10"/>
  <c r="R10" i="10" l="1"/>
  <c r="C13" i="7" s="1"/>
  <c r="R13" i="7" s="1"/>
  <c r="R9" i="10"/>
  <c r="C12" i="7" s="1"/>
  <c r="R12" i="7" s="1"/>
  <c r="P9" i="10"/>
  <c r="K81" i="7"/>
  <c r="H81" i="7"/>
  <c r="AM80" i="4"/>
  <c r="AG80" i="4"/>
  <c r="AA80" i="4"/>
  <c r="U80" i="4"/>
  <c r="O80" i="4"/>
  <c r="I80" i="4"/>
  <c r="T82" i="6"/>
  <c r="T83" i="6"/>
  <c r="T80" i="6"/>
  <c r="T81" i="6"/>
  <c r="T79" i="6"/>
  <c r="N79" i="2"/>
  <c r="D81" i="8"/>
  <c r="B79" i="2"/>
  <c r="R79" i="2" s="1"/>
  <c r="X79" i="2"/>
  <c r="AD79" i="2"/>
  <c r="AJ79" i="2"/>
  <c r="AP79" i="2"/>
  <c r="AV79" i="2"/>
  <c r="B78" i="2"/>
  <c r="R78" i="2" s="1"/>
  <c r="H75" i="1"/>
  <c r="H76" i="1"/>
  <c r="H77" i="1"/>
  <c r="H78" i="1"/>
  <c r="H79" i="1"/>
  <c r="H80" i="1"/>
  <c r="H81" i="1"/>
  <c r="H82" i="1"/>
  <c r="H83" i="1"/>
  <c r="H68" i="1"/>
  <c r="H69" i="1"/>
  <c r="H70" i="1"/>
  <c r="H71" i="1"/>
  <c r="H72" i="1"/>
  <c r="H73" i="1"/>
  <c r="H74" i="1"/>
  <c r="H63" i="1"/>
  <c r="H64" i="1"/>
  <c r="H65" i="1"/>
  <c r="H66" i="1"/>
  <c r="H67" i="1"/>
  <c r="H60" i="1"/>
  <c r="H61" i="1"/>
  <c r="H62" i="1"/>
  <c r="H59" i="1"/>
  <c r="H30" i="1"/>
  <c r="H66" i="2" l="1"/>
  <c r="H70" i="2"/>
  <c r="H78" i="2"/>
  <c r="H76" i="2"/>
  <c r="H77" i="2"/>
  <c r="H64" i="2"/>
  <c r="H62" i="2"/>
  <c r="H73" i="2"/>
  <c r="H65" i="2"/>
  <c r="H68" i="2"/>
  <c r="H75" i="2"/>
  <c r="H74" i="2"/>
  <c r="H60" i="2"/>
  <c r="H72" i="2"/>
  <c r="H69" i="2"/>
  <c r="H63" i="2"/>
  <c r="H61" i="2"/>
  <c r="H67" i="2"/>
  <c r="H71" i="2"/>
  <c r="BB79" i="2"/>
  <c r="C80" i="4"/>
  <c r="D80" i="4" s="1"/>
  <c r="M79" i="2"/>
  <c r="B81" i="7"/>
  <c r="H76" i="11" s="1"/>
  <c r="BL80" i="4"/>
  <c r="BJ80" i="4"/>
  <c r="AS80" i="4"/>
  <c r="S79" i="2"/>
  <c r="E80" i="4"/>
  <c r="F81" i="4" s="1"/>
  <c r="BG80" i="4"/>
  <c r="AC81" i="4" l="1"/>
  <c r="AD81" i="4" s="1"/>
  <c r="BC81" i="4" s="1"/>
  <c r="W81" i="4"/>
  <c r="X81" i="4" s="1"/>
  <c r="BB81" i="4" s="1"/>
  <c r="AI81" i="4"/>
  <c r="AJ81" i="4" s="1"/>
  <c r="BD81" i="4" s="1"/>
  <c r="Q81" i="4"/>
  <c r="R81" i="4" s="1"/>
  <c r="BA81" i="4" s="1"/>
  <c r="AU81" i="4"/>
  <c r="AV81" i="4" s="1"/>
  <c r="AO81" i="4"/>
  <c r="AP81" i="4" s="1"/>
  <c r="BE81" i="4" s="1"/>
  <c r="K81" i="4"/>
  <c r="L81" i="4" s="1"/>
  <c r="AZ81" i="4" s="1"/>
  <c r="BF81" i="4" s="1"/>
  <c r="I81" i="7"/>
  <c r="G80" i="7"/>
  <c r="U100" i="8"/>
  <c r="U97" i="8"/>
  <c r="F79" i="8" s="1"/>
  <c r="U94" i="8"/>
  <c r="F78" i="8" s="1"/>
  <c r="U70" i="8"/>
  <c r="F70" i="8" s="1"/>
  <c r="U73" i="8"/>
  <c r="F71" i="8" s="1"/>
  <c r="U76" i="8"/>
  <c r="F72" i="8" s="1"/>
  <c r="U79" i="8"/>
  <c r="F73" i="8" s="1"/>
  <c r="U82" i="8"/>
  <c r="F74" i="8" s="1"/>
  <c r="U85" i="8"/>
  <c r="F75" i="8" s="1"/>
  <c r="U88" i="8"/>
  <c r="F76" i="8" s="1"/>
  <c r="U91" i="8"/>
  <c r="F77" i="8" s="1"/>
  <c r="C80" i="8"/>
  <c r="L80" i="7" s="1"/>
  <c r="BH81" i="4" l="1"/>
  <c r="J79" i="10" s="1"/>
  <c r="F79" i="10"/>
  <c r="G79" i="10" s="1"/>
  <c r="BK81" i="4"/>
  <c r="BI81" i="4"/>
  <c r="K80" i="7"/>
  <c r="H80" i="7"/>
  <c r="F80" i="8"/>
  <c r="P80" i="7" s="1"/>
  <c r="AM79" i="4"/>
  <c r="AN80" i="4" s="1"/>
  <c r="AG79" i="4"/>
  <c r="AH80" i="4" s="1"/>
  <c r="AA79" i="4"/>
  <c r="AB80" i="4" s="1"/>
  <c r="U79" i="4"/>
  <c r="V80" i="4" s="1"/>
  <c r="O79" i="4"/>
  <c r="P80" i="4" s="1"/>
  <c r="I79" i="4"/>
  <c r="P79" i="10" l="1"/>
  <c r="K79" i="10"/>
  <c r="R79" i="10" s="1"/>
  <c r="C82" i="7" s="1"/>
  <c r="R82" i="7" s="1"/>
  <c r="L77" i="10"/>
  <c r="J80" i="4"/>
  <c r="BL79" i="4"/>
  <c r="BG79" i="4"/>
  <c r="BJ79" i="4"/>
  <c r="N78" i="2" l="1"/>
  <c r="O79" i="2" s="1"/>
  <c r="O77" i="10" l="1"/>
  <c r="U79" i="2"/>
  <c r="BI79" i="2" s="1"/>
  <c r="Q77" i="10"/>
  <c r="B80" i="7"/>
  <c r="E79" i="4"/>
  <c r="F80" i="4" s="1"/>
  <c r="BB78" i="2"/>
  <c r="BC79" i="2" s="1"/>
  <c r="G78" i="2"/>
  <c r="AV78" i="2" s="1"/>
  <c r="AW79" i="2" s="1"/>
  <c r="AX79" i="2" s="1"/>
  <c r="AY79" i="2" s="1"/>
  <c r="BN79" i="2" s="1"/>
  <c r="F78" i="2"/>
  <c r="AP78" i="2" s="1"/>
  <c r="AQ79" i="2" s="1"/>
  <c r="AR79" i="2" s="1"/>
  <c r="BM79" i="2" s="1"/>
  <c r="E78" i="2"/>
  <c r="AJ78" i="2" s="1"/>
  <c r="AK79" i="2" s="1"/>
  <c r="AL79" i="2" s="1"/>
  <c r="AM79" i="2" s="1"/>
  <c r="BL79" i="2" s="1"/>
  <c r="D78" i="2"/>
  <c r="AD78" i="2" s="1"/>
  <c r="AE79" i="2" s="1"/>
  <c r="AF79" i="2" s="1"/>
  <c r="AG79" i="2" s="1"/>
  <c r="BK79" i="2" s="1"/>
  <c r="C78" i="2"/>
  <c r="X78" i="2" s="1"/>
  <c r="Y79" i="2" s="1"/>
  <c r="Z79" i="2" s="1"/>
  <c r="AA79" i="2" s="1"/>
  <c r="BJ79" i="2" s="1"/>
  <c r="H75" i="11" l="1"/>
  <c r="I80" i="7"/>
  <c r="M78" i="2"/>
  <c r="D80" i="8"/>
  <c r="BO79" i="2"/>
  <c r="BD79" i="2"/>
  <c r="BE79" i="2" s="1"/>
  <c r="AI80" i="4"/>
  <c r="AO80" i="4"/>
  <c r="AP80" i="4" s="1"/>
  <c r="BE80" i="4" s="1"/>
  <c r="Q80" i="4"/>
  <c r="R80" i="4" s="1"/>
  <c r="BA80" i="4" s="1"/>
  <c r="AC80" i="4"/>
  <c r="AD80" i="4" s="1"/>
  <c r="BC80" i="4" s="1"/>
  <c r="W80" i="4"/>
  <c r="X80" i="4" s="1"/>
  <c r="BB80" i="4" s="1"/>
  <c r="K80" i="4"/>
  <c r="L80" i="4" s="1"/>
  <c r="AZ80" i="4" s="1"/>
  <c r="C79" i="4"/>
  <c r="D79" i="4" s="1"/>
  <c r="G78" i="7"/>
  <c r="G79" i="7"/>
  <c r="D78" i="7"/>
  <c r="F78" i="7" s="1"/>
  <c r="D79" i="7"/>
  <c r="F79" i="7" s="1"/>
  <c r="P122" i="8"/>
  <c r="H79" i="8" s="1"/>
  <c r="P79" i="7"/>
  <c r="C78" i="8"/>
  <c r="L78" i="7" s="1"/>
  <c r="C79" i="8"/>
  <c r="L79" i="7" s="1"/>
  <c r="M75" i="10"/>
  <c r="M76" i="10"/>
  <c r="AM77" i="4"/>
  <c r="AM78" i="4"/>
  <c r="AN79" i="4" s="1"/>
  <c r="AG77" i="4"/>
  <c r="AG78" i="4"/>
  <c r="AH79" i="4" s="1"/>
  <c r="AA77" i="4"/>
  <c r="AA78" i="4"/>
  <c r="AB79" i="4" s="1"/>
  <c r="U77" i="4"/>
  <c r="U78" i="4"/>
  <c r="O77" i="4"/>
  <c r="O78" i="4"/>
  <c r="P79" i="4" s="1"/>
  <c r="I77" i="4"/>
  <c r="L75" i="10" s="1"/>
  <c r="I78" i="4"/>
  <c r="J79" i="4" s="1"/>
  <c r="C78" i="10" l="1"/>
  <c r="E78" i="10" s="1"/>
  <c r="BD80" i="4"/>
  <c r="K79" i="7"/>
  <c r="H79" i="7"/>
  <c r="K78" i="7"/>
  <c r="H78" i="7"/>
  <c r="BI80" i="4"/>
  <c r="V78" i="4"/>
  <c r="V79" i="4"/>
  <c r="AH78" i="4"/>
  <c r="BG78" i="4"/>
  <c r="P78" i="4"/>
  <c r="AN78" i="4"/>
  <c r="J78" i="4"/>
  <c r="AB78" i="4"/>
  <c r="BJ78" i="4"/>
  <c r="L76" i="10"/>
  <c r="BJ77" i="4"/>
  <c r="BG77" i="4"/>
  <c r="BL78" i="4"/>
  <c r="BL77" i="4"/>
  <c r="N76" i="2"/>
  <c r="N77" i="2"/>
  <c r="O78" i="2" s="1"/>
  <c r="BB76" i="2"/>
  <c r="BB77" i="2"/>
  <c r="BC78" i="2" s="1"/>
  <c r="G76" i="2"/>
  <c r="AV76" i="2" s="1"/>
  <c r="G77" i="2"/>
  <c r="AV77" i="2" s="1"/>
  <c r="AW78" i="2" s="1"/>
  <c r="F76" i="2"/>
  <c r="AP76" i="2" s="1"/>
  <c r="F77" i="2"/>
  <c r="AP77" i="2" s="1"/>
  <c r="AQ78" i="2" s="1"/>
  <c r="E76" i="2"/>
  <c r="AJ76" i="2" s="1"/>
  <c r="E77" i="2"/>
  <c r="AJ77" i="2" s="1"/>
  <c r="AK78" i="2" s="1"/>
  <c r="D76" i="2"/>
  <c r="AD76" i="2" s="1"/>
  <c r="D77" i="2"/>
  <c r="AD77" i="2" s="1"/>
  <c r="AE78" i="2" s="1"/>
  <c r="C76" i="2"/>
  <c r="X76" i="2" s="1"/>
  <c r="C77" i="2"/>
  <c r="X77" i="2" s="1"/>
  <c r="Y78" i="2" s="1"/>
  <c r="B76" i="2"/>
  <c r="R76" i="2" s="1"/>
  <c r="B77" i="2"/>
  <c r="R77" i="2" s="1"/>
  <c r="S78" i="2" s="1"/>
  <c r="C77" i="4" l="1"/>
  <c r="D77" i="4" s="1"/>
  <c r="D78" i="8"/>
  <c r="C78" i="4"/>
  <c r="D78" i="4" s="1"/>
  <c r="D79" i="8"/>
  <c r="BK80" i="4"/>
  <c r="BF80" i="4"/>
  <c r="F78" i="10" s="1"/>
  <c r="T78" i="2"/>
  <c r="U78" i="2" s="1"/>
  <c r="BI78" i="2" s="1"/>
  <c r="AR78" i="2"/>
  <c r="BM78" i="2" s="1"/>
  <c r="Z78" i="2"/>
  <c r="AA78" i="2" s="1"/>
  <c r="BJ78" i="2" s="1"/>
  <c r="AX78" i="2"/>
  <c r="AY78" i="2" s="1"/>
  <c r="BN78" i="2" s="1"/>
  <c r="AF78" i="2"/>
  <c r="AG78" i="2" s="1"/>
  <c r="BK78" i="2" s="1"/>
  <c r="BD78" i="2"/>
  <c r="BE78" i="2" s="1"/>
  <c r="AL78" i="2"/>
  <c r="AM78" i="2" s="1"/>
  <c r="BL78" i="2" s="1"/>
  <c r="AQ77" i="2"/>
  <c r="Q76" i="10"/>
  <c r="M76" i="2"/>
  <c r="O77" i="2"/>
  <c r="E78" i="4"/>
  <c r="F79" i="4" s="1"/>
  <c r="K79" i="4" s="1"/>
  <c r="L79" i="4" s="1"/>
  <c r="B79" i="7"/>
  <c r="H74" i="11" s="1"/>
  <c r="O76" i="10"/>
  <c r="E77" i="4"/>
  <c r="B78" i="7"/>
  <c r="H73" i="11" s="1"/>
  <c r="O75" i="10"/>
  <c r="Q75" i="10"/>
  <c r="M77" i="2"/>
  <c r="BC77" i="2"/>
  <c r="Y77" i="2"/>
  <c r="S77" i="2"/>
  <c r="AK77" i="2"/>
  <c r="AE77" i="2"/>
  <c r="AW77" i="2"/>
  <c r="G76" i="7"/>
  <c r="G77" i="7"/>
  <c r="D76" i="7"/>
  <c r="F76" i="7" s="1"/>
  <c r="D77" i="7"/>
  <c r="F77" i="7" s="1"/>
  <c r="P78" i="7"/>
  <c r="P119" i="8"/>
  <c r="H78" i="8" s="1"/>
  <c r="P116" i="8"/>
  <c r="H77" i="8" s="1"/>
  <c r="O81" i="7" s="1"/>
  <c r="Q81" i="7" s="1"/>
  <c r="P77" i="7"/>
  <c r="C77" i="8"/>
  <c r="L77" i="7" s="1"/>
  <c r="C76" i="8"/>
  <c r="L76" i="7" s="1"/>
  <c r="M73" i="10"/>
  <c r="M74" i="10"/>
  <c r="AM75" i="4"/>
  <c r="AM76" i="4"/>
  <c r="AN77" i="4" s="1"/>
  <c r="AG75" i="4"/>
  <c r="AG76" i="4"/>
  <c r="AA75" i="4"/>
  <c r="AA76" i="4"/>
  <c r="AB77" i="4" s="1"/>
  <c r="U75" i="4"/>
  <c r="U76" i="4"/>
  <c r="V77" i="4" s="1"/>
  <c r="O75" i="4"/>
  <c r="O76" i="4"/>
  <c r="P77" i="4" s="1"/>
  <c r="I75" i="4"/>
  <c r="L73" i="10" s="1"/>
  <c r="I76" i="4"/>
  <c r="T76" i="6"/>
  <c r="T77" i="6"/>
  <c r="T78" i="6"/>
  <c r="AS79" i="4"/>
  <c r="N74" i="2"/>
  <c r="N75" i="2"/>
  <c r="BB75" i="2"/>
  <c r="BC76" i="2" s="1"/>
  <c r="G74" i="2"/>
  <c r="AV74" i="2" s="1"/>
  <c r="G75" i="2"/>
  <c r="AV75" i="2" s="1"/>
  <c r="AW76" i="2" s="1"/>
  <c r="F74" i="2"/>
  <c r="AP74" i="2" s="1"/>
  <c r="F75" i="2"/>
  <c r="AP75" i="2" s="1"/>
  <c r="AQ76" i="2" s="1"/>
  <c r="E74" i="2"/>
  <c r="AJ74" i="2" s="1"/>
  <c r="E75" i="2"/>
  <c r="AJ75" i="2" s="1"/>
  <c r="AK76" i="2" s="1"/>
  <c r="D74" i="2"/>
  <c r="AD74" i="2" s="1"/>
  <c r="D75" i="2"/>
  <c r="AD75" i="2" s="1"/>
  <c r="AE76" i="2" s="1"/>
  <c r="C74" i="2"/>
  <c r="X74" i="2" s="1"/>
  <c r="C75" i="2"/>
  <c r="X75" i="2" s="1"/>
  <c r="Y76" i="2" s="1"/>
  <c r="B74" i="2"/>
  <c r="R74" i="2" s="1"/>
  <c r="B75" i="2"/>
  <c r="R75" i="2" s="1"/>
  <c r="S76" i="2" s="1"/>
  <c r="I78" i="7" l="1"/>
  <c r="I79" i="7"/>
  <c r="BO78" i="2"/>
  <c r="C77" i="10" s="1"/>
  <c r="E77" i="10" s="1"/>
  <c r="AT80" i="4"/>
  <c r="AU80" i="4" s="1"/>
  <c r="K77" i="7"/>
  <c r="H77" i="7"/>
  <c r="K76" i="7"/>
  <c r="H76" i="7"/>
  <c r="BH80" i="4"/>
  <c r="J78" i="10" s="1"/>
  <c r="AL77" i="2"/>
  <c r="AM77" i="2" s="1"/>
  <c r="BL77" i="2" s="1"/>
  <c r="AX77" i="2"/>
  <c r="AY77" i="2" s="1"/>
  <c r="BN77" i="2" s="1"/>
  <c r="Z77" i="2"/>
  <c r="AA77" i="2" s="1"/>
  <c r="BJ77" i="2" s="1"/>
  <c r="AF77" i="2"/>
  <c r="AG77" i="2" s="1"/>
  <c r="BK77" i="2" s="1"/>
  <c r="AC79" i="4"/>
  <c r="AD79" i="4" s="1"/>
  <c r="BC79" i="4" s="1"/>
  <c r="AO79" i="4"/>
  <c r="AP79" i="4" s="1"/>
  <c r="BE79" i="4" s="1"/>
  <c r="AI79" i="4"/>
  <c r="BD79" i="4" s="1"/>
  <c r="AZ79" i="4"/>
  <c r="Q79" i="4"/>
  <c r="R79" i="4" s="1"/>
  <c r="BA79" i="4" s="1"/>
  <c r="W79" i="4"/>
  <c r="X79" i="4" s="1"/>
  <c r="BB79" i="4" s="1"/>
  <c r="AS76" i="4"/>
  <c r="AR77" i="2"/>
  <c r="BM77" i="2" s="1"/>
  <c r="AS78" i="4"/>
  <c r="AS77" i="4"/>
  <c r="BG76" i="4"/>
  <c r="J77" i="4"/>
  <c r="BL76" i="4"/>
  <c r="AH77" i="4"/>
  <c r="T77" i="2"/>
  <c r="U77" i="2" s="1"/>
  <c r="BI77" i="2" s="1"/>
  <c r="BD77" i="2"/>
  <c r="BE77" i="2" s="1"/>
  <c r="F78" i="4"/>
  <c r="BG75" i="4"/>
  <c r="BL75" i="4"/>
  <c r="J76" i="4"/>
  <c r="P76" i="4"/>
  <c r="V76" i="4"/>
  <c r="AB76" i="4"/>
  <c r="AH76" i="4"/>
  <c r="AN76" i="4"/>
  <c r="BJ76" i="4"/>
  <c r="BJ75" i="4"/>
  <c r="L74" i="10"/>
  <c r="Q74" i="10" s="1"/>
  <c r="B76" i="7"/>
  <c r="H71" i="11" s="1"/>
  <c r="O75" i="2"/>
  <c r="O76" i="2"/>
  <c r="AL76" i="2" s="1"/>
  <c r="AM76" i="2" s="1"/>
  <c r="BL76" i="2" s="1"/>
  <c r="AQ75" i="2"/>
  <c r="AE75" i="2"/>
  <c r="S75" i="2"/>
  <c r="Y75" i="2"/>
  <c r="AK75" i="2"/>
  <c r="AW75" i="2"/>
  <c r="E76" i="4"/>
  <c r="O73" i="10"/>
  <c r="B77" i="7"/>
  <c r="H72" i="11" s="1"/>
  <c r="O74" i="10"/>
  <c r="Q73" i="10"/>
  <c r="P113" i="8"/>
  <c r="P76" i="7"/>
  <c r="C75" i="8"/>
  <c r="I77" i="7" l="1"/>
  <c r="I76" i="7"/>
  <c r="BO77" i="2"/>
  <c r="C76" i="10" s="1"/>
  <c r="E76" i="10" s="1"/>
  <c r="AT79" i="4"/>
  <c r="AU79" i="4" s="1"/>
  <c r="AV79" i="4" s="1"/>
  <c r="G78" i="10"/>
  <c r="K78" i="10" s="1"/>
  <c r="R78" i="10" s="1"/>
  <c r="C81" i="7" s="1"/>
  <c r="R81" i="7" s="1"/>
  <c r="AV80" i="4"/>
  <c r="BF79" i="4"/>
  <c r="F77" i="10" s="1"/>
  <c r="G77" i="10" s="1"/>
  <c r="AX75" i="2"/>
  <c r="BK79" i="4"/>
  <c r="T76" i="2"/>
  <c r="U76" i="2" s="1"/>
  <c r="BI76" i="2" s="1"/>
  <c r="BI79" i="4"/>
  <c r="AX76" i="2"/>
  <c r="AY76" i="2" s="1"/>
  <c r="BN76" i="2" s="1"/>
  <c r="AF76" i="2"/>
  <c r="AG76" i="2" s="1"/>
  <c r="BK76" i="2" s="1"/>
  <c r="AR75" i="2"/>
  <c r="BD76" i="2"/>
  <c r="BE76" i="2" s="1"/>
  <c r="Z75" i="2"/>
  <c r="AT77" i="4"/>
  <c r="AI78" i="4"/>
  <c r="BD78" i="4" s="1"/>
  <c r="W78" i="4"/>
  <c r="X78" i="4" s="1"/>
  <c r="BB78" i="4" s="1"/>
  <c r="AO78" i="4"/>
  <c r="AP78" i="4" s="1"/>
  <c r="BE78" i="4" s="1"/>
  <c r="Q78" i="4"/>
  <c r="R78" i="4" s="1"/>
  <c r="BA78" i="4" s="1"/>
  <c r="K78" i="4"/>
  <c r="L78" i="4" s="1"/>
  <c r="AZ78" i="4" s="1"/>
  <c r="AC78" i="4"/>
  <c r="AD78" i="4" s="1"/>
  <c r="BC78" i="4" s="1"/>
  <c r="Z76" i="2"/>
  <c r="AA76" i="2" s="1"/>
  <c r="BJ76" i="2" s="1"/>
  <c r="AR76" i="2"/>
  <c r="BM76" i="2" s="1"/>
  <c r="T75" i="2"/>
  <c r="AT78" i="4"/>
  <c r="AU78" i="4" s="1"/>
  <c r="AV78" i="4" s="1"/>
  <c r="F77" i="4"/>
  <c r="AI77" i="4" s="1"/>
  <c r="BD77" i="4" s="1"/>
  <c r="AL75" i="2"/>
  <c r="AF75" i="2"/>
  <c r="L75" i="7"/>
  <c r="G75" i="7"/>
  <c r="D75" i="7"/>
  <c r="F75" i="7" s="1"/>
  <c r="M72" i="10"/>
  <c r="P78" i="10" l="1"/>
  <c r="BF78" i="4"/>
  <c r="F76" i="10" s="1"/>
  <c r="K75" i="7"/>
  <c r="H75" i="7"/>
  <c r="BH79" i="4"/>
  <c r="J77" i="10" s="1"/>
  <c r="P77" i="10"/>
  <c r="K77" i="10"/>
  <c r="R77" i="10" s="1"/>
  <c r="C80" i="7" s="1"/>
  <c r="BK78" i="4"/>
  <c r="K77" i="4"/>
  <c r="L77" i="4" s="1"/>
  <c r="AZ77" i="4" s="1"/>
  <c r="AU77" i="4"/>
  <c r="AV77" i="4" s="1"/>
  <c r="BI78" i="4"/>
  <c r="AC77" i="4"/>
  <c r="AD77" i="4" s="1"/>
  <c r="BC77" i="4" s="1"/>
  <c r="W77" i="4"/>
  <c r="X77" i="4" s="1"/>
  <c r="BB77" i="4" s="1"/>
  <c r="Q77" i="4"/>
  <c r="R77" i="4" s="1"/>
  <c r="BA77" i="4" s="1"/>
  <c r="AO77" i="4"/>
  <c r="AP77" i="4" s="1"/>
  <c r="BE77" i="4" s="1"/>
  <c r="BK77" i="4" s="1"/>
  <c r="AM74" i="4"/>
  <c r="AN75" i="4" s="1"/>
  <c r="AG74" i="4"/>
  <c r="AH75" i="4" s="1"/>
  <c r="AA74" i="4"/>
  <c r="AB75" i="4" s="1"/>
  <c r="U74" i="4"/>
  <c r="V75" i="4" s="1"/>
  <c r="O74" i="4"/>
  <c r="P75" i="4" s="1"/>
  <c r="I74" i="4"/>
  <c r="M68" i="2" l="1"/>
  <c r="D70" i="8"/>
  <c r="M64" i="2"/>
  <c r="D66" i="8"/>
  <c r="M60" i="2"/>
  <c r="D62" i="8"/>
  <c r="M56" i="2"/>
  <c r="D58" i="8"/>
  <c r="M52" i="2"/>
  <c r="D54" i="8"/>
  <c r="M48" i="2"/>
  <c r="D50" i="8"/>
  <c r="M44" i="2"/>
  <c r="D46" i="8"/>
  <c r="M40" i="2"/>
  <c r="D42" i="8"/>
  <c r="M36" i="2"/>
  <c r="D38" i="8"/>
  <c r="M32" i="2"/>
  <c r="D34" i="8"/>
  <c r="M28" i="2"/>
  <c r="D30" i="8"/>
  <c r="M24" i="2"/>
  <c r="D26" i="8"/>
  <c r="M20" i="2"/>
  <c r="D22" i="8"/>
  <c r="M71" i="2"/>
  <c r="D73" i="8"/>
  <c r="M67" i="2"/>
  <c r="D69" i="8"/>
  <c r="M63" i="2"/>
  <c r="D65" i="8"/>
  <c r="M59" i="2"/>
  <c r="D61" i="8"/>
  <c r="M55" i="2"/>
  <c r="D57" i="8"/>
  <c r="M51" i="2"/>
  <c r="D53" i="8"/>
  <c r="M47" i="2"/>
  <c r="D49" i="8"/>
  <c r="M43" i="2"/>
  <c r="D45" i="8"/>
  <c r="M39" i="2"/>
  <c r="D41" i="8"/>
  <c r="M35" i="2"/>
  <c r="D37" i="8"/>
  <c r="M31" i="2"/>
  <c r="D33" i="8"/>
  <c r="M27" i="2"/>
  <c r="D29" i="8"/>
  <c r="M23" i="2"/>
  <c r="D25" i="8"/>
  <c r="M19" i="2"/>
  <c r="D21" i="8"/>
  <c r="M66" i="2"/>
  <c r="D68" i="8"/>
  <c r="M62" i="2"/>
  <c r="D64" i="8"/>
  <c r="M58" i="2"/>
  <c r="D60" i="8"/>
  <c r="M54" i="2"/>
  <c r="D56" i="8"/>
  <c r="M50" i="2"/>
  <c r="D52" i="8"/>
  <c r="M46" i="2"/>
  <c r="D48" i="8"/>
  <c r="M42" i="2"/>
  <c r="D44" i="8"/>
  <c r="M38" i="2"/>
  <c r="D40" i="8"/>
  <c r="M34" i="2"/>
  <c r="D36" i="8"/>
  <c r="M30" i="2"/>
  <c r="D32" i="8"/>
  <c r="M26" i="2"/>
  <c r="D28" i="8"/>
  <c r="M22" i="2"/>
  <c r="D24" i="8"/>
  <c r="M70" i="2"/>
  <c r="D72" i="8"/>
  <c r="M69" i="2"/>
  <c r="D71" i="8"/>
  <c r="M65" i="2"/>
  <c r="D67" i="8"/>
  <c r="M61" i="2"/>
  <c r="D63" i="8"/>
  <c r="M57" i="2"/>
  <c r="D59" i="8"/>
  <c r="M53" i="2"/>
  <c r="D55" i="8"/>
  <c r="M49" i="2"/>
  <c r="D51" i="8"/>
  <c r="M45" i="2"/>
  <c r="D47" i="8"/>
  <c r="M41" i="2"/>
  <c r="D43" i="8"/>
  <c r="M37" i="2"/>
  <c r="D39" i="8"/>
  <c r="M33" i="2"/>
  <c r="D35" i="8"/>
  <c r="M29" i="2"/>
  <c r="D31" i="8"/>
  <c r="M25" i="2"/>
  <c r="D27" i="8"/>
  <c r="M21" i="2"/>
  <c r="D23" i="8"/>
  <c r="BF77" i="4"/>
  <c r="F75" i="10" s="1"/>
  <c r="BH78" i="4"/>
  <c r="J76" i="10" s="1"/>
  <c r="G76" i="10"/>
  <c r="K76" i="10" s="1"/>
  <c r="BI77" i="4"/>
  <c r="L72" i="10"/>
  <c r="J75" i="4"/>
  <c r="BL74" i="4"/>
  <c r="BJ74" i="4"/>
  <c r="BG74" i="4"/>
  <c r="P75" i="7"/>
  <c r="P110" i="8"/>
  <c r="H75" i="8" s="1"/>
  <c r="G79" i="8" s="1"/>
  <c r="O79" i="7" s="1"/>
  <c r="Q79" i="7" s="1"/>
  <c r="H76" i="8"/>
  <c r="N72" i="2"/>
  <c r="O71" i="10" s="1"/>
  <c r="N73" i="2"/>
  <c r="G73" i="2"/>
  <c r="AV73" i="2" s="1"/>
  <c r="AW74" i="2" s="1"/>
  <c r="F73" i="2"/>
  <c r="AP73" i="2" s="1"/>
  <c r="AQ74" i="2" s="1"/>
  <c r="AR74" i="2" s="1"/>
  <c r="E73" i="2"/>
  <c r="AJ73" i="2" s="1"/>
  <c r="AK74" i="2" s="1"/>
  <c r="D73" i="2"/>
  <c r="AD73" i="2" s="1"/>
  <c r="AE74" i="2" s="1"/>
  <c r="C73" i="2"/>
  <c r="X73" i="2" s="1"/>
  <c r="B73" i="2"/>
  <c r="R73" i="2" s="1"/>
  <c r="S74" i="2" s="1"/>
  <c r="O73" i="2" l="1"/>
  <c r="BH77" i="4"/>
  <c r="J75" i="10" s="1"/>
  <c r="R76" i="10"/>
  <c r="C79" i="7" s="1"/>
  <c r="R79" i="7" s="1"/>
  <c r="P76" i="10"/>
  <c r="G75" i="10"/>
  <c r="E74" i="4"/>
  <c r="E75" i="4" s="1"/>
  <c r="F75" i="4" s="1"/>
  <c r="AI75" i="4" s="1"/>
  <c r="G80" i="8"/>
  <c r="O80" i="7" s="1"/>
  <c r="T74" i="2"/>
  <c r="AF74" i="2"/>
  <c r="O72" i="10"/>
  <c r="Y74" i="2"/>
  <c r="Q72" i="10"/>
  <c r="B75" i="7"/>
  <c r="H70" i="11" l="1"/>
  <c r="I75" i="7"/>
  <c r="K75" i="10"/>
  <c r="R75" i="10" s="1"/>
  <c r="C78" i="7" s="1"/>
  <c r="P75" i="10"/>
  <c r="Q80" i="7"/>
  <c r="R80" i="7" s="1"/>
  <c r="AC75" i="4"/>
  <c r="F76" i="4"/>
  <c r="K76" i="4" s="1"/>
  <c r="AX74" i="2"/>
  <c r="AL74" i="2"/>
  <c r="Z74" i="2"/>
  <c r="AO75" i="4" l="1"/>
  <c r="W75" i="4"/>
  <c r="K75" i="4"/>
  <c r="Q75" i="4"/>
  <c r="AO76" i="4"/>
  <c r="Q76" i="4"/>
  <c r="AI76" i="4"/>
  <c r="AC76" i="4"/>
  <c r="W76" i="4"/>
  <c r="M72" i="2" l="1"/>
  <c r="D74" i="8"/>
  <c r="M74" i="2"/>
  <c r="D76" i="8"/>
  <c r="M75" i="2"/>
  <c r="D77" i="8"/>
  <c r="M73" i="2"/>
  <c r="D75" i="8"/>
  <c r="C75" i="4"/>
  <c r="D75" i="4" s="1"/>
  <c r="C76" i="4"/>
  <c r="D76" i="4" s="1"/>
  <c r="C74" i="4"/>
  <c r="D74" i="4" s="1"/>
  <c r="AD75" i="4" l="1"/>
  <c r="BC75" i="4" s="1"/>
  <c r="R75" i="4"/>
  <c r="BA75" i="4" s="1"/>
  <c r="X75" i="4"/>
  <c r="BB75" i="4" s="1"/>
  <c r="BD75" i="4"/>
  <c r="AZ75" i="4"/>
  <c r="BE75" i="4"/>
  <c r="BL74" i="2"/>
  <c r="AA74" i="2"/>
  <c r="BJ74" i="2" s="1"/>
  <c r="AG74" i="2"/>
  <c r="BK74" i="2" s="1"/>
  <c r="BM74" i="2"/>
  <c r="U74" i="2"/>
  <c r="BI74" i="2" s="1"/>
  <c r="AY74" i="2"/>
  <c r="BN74" i="2" s="1"/>
  <c r="AA75" i="2"/>
  <c r="BJ75" i="2" s="1"/>
  <c r="AM75" i="2"/>
  <c r="BL75" i="2" s="1"/>
  <c r="U75" i="2"/>
  <c r="BI75" i="2" s="1"/>
  <c r="BN75" i="2"/>
  <c r="AG75" i="2"/>
  <c r="BK75" i="2" s="1"/>
  <c r="BM75" i="2"/>
  <c r="AP76" i="4"/>
  <c r="BE76" i="4" s="1"/>
  <c r="BD76" i="4"/>
  <c r="AD76" i="4"/>
  <c r="BC76" i="4" s="1"/>
  <c r="X76" i="4"/>
  <c r="BB76" i="4" s="1"/>
  <c r="R76" i="4"/>
  <c r="BA76" i="4" s="1"/>
  <c r="AZ76" i="4"/>
  <c r="L74" i="7"/>
  <c r="BF75" i="4" l="1"/>
  <c r="F73" i="10" s="1"/>
  <c r="BF76" i="4"/>
  <c r="F74" i="10" s="1"/>
  <c r="G74" i="10" s="1"/>
  <c r="BI75" i="4"/>
  <c r="BK75" i="4"/>
  <c r="BI76" i="4"/>
  <c r="BK76" i="4"/>
  <c r="D74" i="7"/>
  <c r="P107" i="8"/>
  <c r="H74" i="8" s="1"/>
  <c r="G78" i="8" s="1"/>
  <c r="O78" i="7" s="1"/>
  <c r="P105" i="8"/>
  <c r="H73" i="8" s="1"/>
  <c r="G77" i="8" s="1"/>
  <c r="O77" i="7" s="1"/>
  <c r="Q77" i="7" s="1"/>
  <c r="C73" i="8"/>
  <c r="L73" i="7" s="1"/>
  <c r="G73" i="10" l="1"/>
  <c r="F74" i="7"/>
  <c r="H74" i="7"/>
  <c r="Q78" i="7"/>
  <c r="R78" i="7" s="1"/>
  <c r="P74" i="7"/>
  <c r="M71" i="10"/>
  <c r="AM73" i="4"/>
  <c r="AN74" i="4" s="1"/>
  <c r="AG73" i="4"/>
  <c r="AH74" i="4" s="1"/>
  <c r="AA73" i="4"/>
  <c r="AB74" i="4" s="1"/>
  <c r="U73" i="4"/>
  <c r="V74" i="4" s="1"/>
  <c r="O73" i="4"/>
  <c r="P74" i="4" s="1"/>
  <c r="I73" i="4"/>
  <c r="L71" i="10" s="1"/>
  <c r="Q71" i="10" l="1"/>
  <c r="J74" i="4"/>
  <c r="BJ73" i="4"/>
  <c r="BL73" i="4"/>
  <c r="BG73" i="4"/>
  <c r="C73" i="4" l="1"/>
  <c r="D73" i="4" s="1"/>
  <c r="G72" i="2"/>
  <c r="AV72" i="2" s="1"/>
  <c r="AW73" i="2" s="1"/>
  <c r="AX73" i="2" s="1"/>
  <c r="AY73" i="2" s="1"/>
  <c r="BN73" i="2" s="1"/>
  <c r="F72" i="2"/>
  <c r="AP72" i="2" s="1"/>
  <c r="AQ73" i="2" s="1"/>
  <c r="AR73" i="2" s="1"/>
  <c r="E72" i="2"/>
  <c r="AJ72" i="2" s="1"/>
  <c r="AK73" i="2" s="1"/>
  <c r="D72" i="2"/>
  <c r="AD72" i="2" s="1"/>
  <c r="AE73" i="2" s="1"/>
  <c r="AF73" i="2" s="1"/>
  <c r="AG73" i="2" s="1"/>
  <c r="BK73" i="2" s="1"/>
  <c r="C72" i="2"/>
  <c r="X72" i="2" s="1"/>
  <c r="Y73" i="2" s="1"/>
  <c r="Z73" i="2" s="1"/>
  <c r="AA73" i="2" s="1"/>
  <c r="BJ73" i="2" s="1"/>
  <c r="B72" i="2"/>
  <c r="R72" i="2" s="1"/>
  <c r="AL73" i="2" l="1"/>
  <c r="AM73" i="2" s="1"/>
  <c r="BL73" i="2" s="1"/>
  <c r="BM73" i="2"/>
  <c r="S73" i="2"/>
  <c r="T73" i="2" s="1"/>
  <c r="B74" i="7"/>
  <c r="E73" i="4"/>
  <c r="F74" i="4" s="1"/>
  <c r="H69" i="11" l="1"/>
  <c r="I74" i="7"/>
  <c r="U73" i="2"/>
  <c r="BI73" i="2" s="1"/>
  <c r="Q74" i="4"/>
  <c r="R74" i="4" s="1"/>
  <c r="BA74" i="4" s="1"/>
  <c r="AI74" i="4"/>
  <c r="BD74" i="4" s="1"/>
  <c r="W74" i="4"/>
  <c r="X74" i="4" s="1"/>
  <c r="BB74" i="4" s="1"/>
  <c r="AC74" i="4"/>
  <c r="AD74" i="4" s="1"/>
  <c r="BC74" i="4" s="1"/>
  <c r="AO74" i="4"/>
  <c r="AP74" i="4" s="1"/>
  <c r="BE74" i="4" s="1"/>
  <c r="K74" i="4"/>
  <c r="L74" i="4" s="1"/>
  <c r="AZ74" i="4" s="1"/>
  <c r="BF74" i="4" l="1"/>
  <c r="F72" i="10" s="1"/>
  <c r="BK74" i="4"/>
  <c r="BI74" i="4"/>
  <c r="G73" i="7"/>
  <c r="D73" i="7"/>
  <c r="F73" i="7" s="1"/>
  <c r="AM68" i="4"/>
  <c r="AM69" i="4"/>
  <c r="AM70" i="4"/>
  <c r="AM71" i="4"/>
  <c r="AM72" i="4"/>
  <c r="AN73" i="4" s="1"/>
  <c r="AG69" i="4"/>
  <c r="AG70" i="4"/>
  <c r="AG71" i="4"/>
  <c r="AG72" i="4"/>
  <c r="T75" i="6"/>
  <c r="AS75" i="4" s="1"/>
  <c r="C72" i="4"/>
  <c r="D72" i="4" s="1"/>
  <c r="AT76" i="4" l="1"/>
  <c r="AU76" i="4" s="1"/>
  <c r="AV76" i="4" s="1"/>
  <c r="K73" i="7"/>
  <c r="H73" i="7"/>
  <c r="BH76" i="4"/>
  <c r="J74" i="10" s="1"/>
  <c r="AH71" i="4"/>
  <c r="AH70" i="4"/>
  <c r="BL72" i="4"/>
  <c r="AH73" i="4"/>
  <c r="AN71" i="4"/>
  <c r="AH72" i="4"/>
  <c r="AA71" i="4"/>
  <c r="AA72" i="4"/>
  <c r="AB73" i="4" s="1"/>
  <c r="P74" i="10" l="1"/>
  <c r="K74" i="10"/>
  <c r="R74" i="10" s="1"/>
  <c r="C77" i="7" s="1"/>
  <c r="R77" i="7" s="1"/>
  <c r="AB72" i="4"/>
  <c r="N71" i="2" l="1"/>
  <c r="O70" i="10" s="1"/>
  <c r="B73" i="7" l="1"/>
  <c r="O72" i="2"/>
  <c r="E72" i="4"/>
  <c r="F73" i="4" s="1"/>
  <c r="P72" i="7"/>
  <c r="P93" i="8"/>
  <c r="H69" i="8" s="1"/>
  <c r="P90" i="8"/>
  <c r="H68" i="8" s="1"/>
  <c r="G68" i="8" s="1"/>
  <c r="O68" i="7" s="1"/>
  <c r="P102" i="8"/>
  <c r="H72" i="8" s="1"/>
  <c r="G76" i="8" s="1"/>
  <c r="O76" i="7" s="1"/>
  <c r="Q76" i="7" s="1"/>
  <c r="P99" i="8"/>
  <c r="H71" i="8" s="1"/>
  <c r="G75" i="8" s="1"/>
  <c r="O75" i="7" s="1"/>
  <c r="Q75" i="7" s="1"/>
  <c r="P96" i="8"/>
  <c r="H70" i="8" s="1"/>
  <c r="P87" i="8"/>
  <c r="H67" i="8" s="1"/>
  <c r="G67" i="8" s="1"/>
  <c r="O67" i="7" s="1"/>
  <c r="P84" i="8"/>
  <c r="H66" i="8" s="1"/>
  <c r="M63" i="10"/>
  <c r="M64" i="10"/>
  <c r="M65" i="10"/>
  <c r="M66" i="10"/>
  <c r="M67" i="10"/>
  <c r="M68" i="10"/>
  <c r="M69" i="10"/>
  <c r="M70" i="10"/>
  <c r="U72" i="4"/>
  <c r="V73" i="4" s="1"/>
  <c r="O72" i="4"/>
  <c r="P73" i="4" s="1"/>
  <c r="I72" i="4"/>
  <c r="J73" i="4" s="1"/>
  <c r="G71" i="2"/>
  <c r="AV71" i="2" s="1"/>
  <c r="AW72" i="2" s="1"/>
  <c r="F71" i="2"/>
  <c r="AP71" i="2" s="1"/>
  <c r="E71" i="2"/>
  <c r="AJ71" i="2" s="1"/>
  <c r="AK72" i="2" s="1"/>
  <c r="D71" i="2"/>
  <c r="AD71" i="2" s="1"/>
  <c r="AE72" i="2" s="1"/>
  <c r="C71" i="2"/>
  <c r="X71" i="2" s="1"/>
  <c r="Y72" i="2" s="1"/>
  <c r="B71" i="2"/>
  <c r="R71" i="2" s="1"/>
  <c r="S72" i="2" s="1"/>
  <c r="G56" i="8"/>
  <c r="O56" i="7" s="1"/>
  <c r="B70" i="2"/>
  <c r="R70" i="2" s="1"/>
  <c r="B69" i="2"/>
  <c r="R69" i="2" s="1"/>
  <c r="N70" i="2"/>
  <c r="O69" i="10" s="1"/>
  <c r="N69" i="2"/>
  <c r="C70" i="2"/>
  <c r="X70" i="2" s="1"/>
  <c r="C69" i="2"/>
  <c r="X69" i="2" s="1"/>
  <c r="D70" i="2"/>
  <c r="AD70" i="2" s="1"/>
  <c r="D69" i="2"/>
  <c r="AD69" i="2" s="1"/>
  <c r="E70" i="2"/>
  <c r="AJ70" i="2" s="1"/>
  <c r="E69" i="2"/>
  <c r="AJ69" i="2" s="1"/>
  <c r="F70" i="2"/>
  <c r="AP70" i="2" s="1"/>
  <c r="F69" i="2"/>
  <c r="AP69" i="2" s="1"/>
  <c r="G70" i="2"/>
  <c r="AV70" i="2" s="1"/>
  <c r="G69" i="2"/>
  <c r="AV69" i="2" s="1"/>
  <c r="T71" i="6"/>
  <c r="T72" i="6"/>
  <c r="T73" i="6"/>
  <c r="T74" i="6"/>
  <c r="AS74" i="4" s="1"/>
  <c r="T70" i="6"/>
  <c r="I71" i="4"/>
  <c r="I70" i="4"/>
  <c r="G72" i="7"/>
  <c r="D72" i="7"/>
  <c r="F72" i="7" s="1"/>
  <c r="P71" i="7"/>
  <c r="G71" i="7"/>
  <c r="D71" i="7"/>
  <c r="F71" i="7" s="1"/>
  <c r="C70" i="4"/>
  <c r="D70" i="4" s="1"/>
  <c r="B68" i="2"/>
  <c r="R68" i="2" s="1"/>
  <c r="N68" i="2"/>
  <c r="E69" i="4" s="1"/>
  <c r="C68" i="2"/>
  <c r="X68" i="2" s="1"/>
  <c r="D68" i="2"/>
  <c r="AD68" i="2" s="1"/>
  <c r="E68" i="2"/>
  <c r="AJ68" i="2" s="1"/>
  <c r="F68" i="2"/>
  <c r="AP68" i="2" s="1"/>
  <c r="G68" i="2"/>
  <c r="AV68" i="2" s="1"/>
  <c r="T69" i="6"/>
  <c r="I69" i="4"/>
  <c r="C72" i="8"/>
  <c r="L72" i="7" s="1"/>
  <c r="F68" i="8"/>
  <c r="P68" i="7" s="1"/>
  <c r="G68" i="7"/>
  <c r="D68" i="7"/>
  <c r="F68" i="7" s="1"/>
  <c r="N66" i="2"/>
  <c r="O65" i="10" s="1"/>
  <c r="B66" i="2"/>
  <c r="R66" i="2" s="1"/>
  <c r="B65" i="2"/>
  <c r="R65" i="2" s="1"/>
  <c r="N65" i="2"/>
  <c r="B67" i="7" s="1"/>
  <c r="H62" i="11" s="1"/>
  <c r="C66" i="2"/>
  <c r="X66" i="2" s="1"/>
  <c r="C65" i="2"/>
  <c r="X65" i="2" s="1"/>
  <c r="D66" i="2"/>
  <c r="AD66" i="2" s="1"/>
  <c r="D65" i="2"/>
  <c r="AD65" i="2" s="1"/>
  <c r="E66" i="2"/>
  <c r="AJ66" i="2" s="1"/>
  <c r="E65" i="2"/>
  <c r="AJ65" i="2" s="1"/>
  <c r="F66" i="2"/>
  <c r="AP66" i="2" s="1"/>
  <c r="F65" i="2"/>
  <c r="AP65" i="2" s="1"/>
  <c r="G66" i="2"/>
  <c r="AV66" i="2" s="1"/>
  <c r="G65" i="2"/>
  <c r="AV65" i="2" s="1"/>
  <c r="T67" i="6"/>
  <c r="T68" i="6"/>
  <c r="T66" i="6"/>
  <c r="I67" i="4"/>
  <c r="L65" i="10" s="1"/>
  <c r="I66" i="4"/>
  <c r="F69" i="8"/>
  <c r="P69" i="7" s="1"/>
  <c r="G69" i="7"/>
  <c r="D69" i="7"/>
  <c r="F69" i="7" s="1"/>
  <c r="N67" i="2"/>
  <c r="B67" i="2"/>
  <c r="R67" i="2" s="1"/>
  <c r="C67" i="2"/>
  <c r="X67" i="2" s="1"/>
  <c r="D67" i="2"/>
  <c r="AD67" i="2" s="1"/>
  <c r="E67" i="2"/>
  <c r="AJ67" i="2" s="1"/>
  <c r="F67" i="2"/>
  <c r="AP67" i="2" s="1"/>
  <c r="G67" i="2"/>
  <c r="AV67" i="2" s="1"/>
  <c r="I68" i="4"/>
  <c r="G70" i="7"/>
  <c r="D70" i="7"/>
  <c r="F70" i="7" s="1"/>
  <c r="P24" i="8"/>
  <c r="L108" i="8"/>
  <c r="L111" i="8"/>
  <c r="L114" i="8"/>
  <c r="L117" i="8"/>
  <c r="F24" i="8"/>
  <c r="P24" i="7" s="1"/>
  <c r="F16" i="8"/>
  <c r="P16" i="7" s="1"/>
  <c r="P14" i="7"/>
  <c r="F52" i="8"/>
  <c r="P52" i="7" s="1"/>
  <c r="I14" i="4"/>
  <c r="C44" i="4"/>
  <c r="D44" i="4" s="1"/>
  <c r="N43" i="2"/>
  <c r="N42" i="2"/>
  <c r="E43" i="4" s="1"/>
  <c r="AG44" i="4"/>
  <c r="AG43" i="4"/>
  <c r="AA70" i="4"/>
  <c r="T61" i="6"/>
  <c r="T62" i="6"/>
  <c r="T63" i="6"/>
  <c r="T64" i="6"/>
  <c r="C61" i="4"/>
  <c r="T60" i="6"/>
  <c r="N60" i="2"/>
  <c r="N59" i="2"/>
  <c r="O58" i="10" s="1"/>
  <c r="T65" i="6"/>
  <c r="C62" i="4"/>
  <c r="D62" i="4" s="1"/>
  <c r="N61" i="2"/>
  <c r="B63" i="7" s="1"/>
  <c r="H58" i="11" s="1"/>
  <c r="C63" i="4"/>
  <c r="N62" i="2"/>
  <c r="B64" i="7" s="1"/>
  <c r="H59" i="11" s="1"/>
  <c r="N63" i="2"/>
  <c r="N64" i="2"/>
  <c r="E65" i="4" s="1"/>
  <c r="C66" i="4"/>
  <c r="G15" i="7"/>
  <c r="G15" i="8"/>
  <c r="O15" i="7" s="1"/>
  <c r="D15" i="7"/>
  <c r="F15" i="7" s="1"/>
  <c r="F15" i="8"/>
  <c r="P15" i="7" s="1"/>
  <c r="C14" i="4"/>
  <c r="D14" i="4" s="1"/>
  <c r="B14" i="7"/>
  <c r="L11" i="10"/>
  <c r="O14" i="4"/>
  <c r="O13" i="4"/>
  <c r="U14" i="4"/>
  <c r="U13" i="4"/>
  <c r="AA14" i="4"/>
  <c r="AA13" i="4"/>
  <c r="AB13" i="4" s="1"/>
  <c r="AG14" i="4"/>
  <c r="AG13" i="4"/>
  <c r="AM14" i="4"/>
  <c r="AM13" i="4"/>
  <c r="O71" i="4"/>
  <c r="O70" i="4"/>
  <c r="U71" i="4"/>
  <c r="U70" i="4"/>
  <c r="BB65" i="2"/>
  <c r="BB66" i="2"/>
  <c r="BB67" i="2"/>
  <c r="BB68" i="2"/>
  <c r="BB62" i="2"/>
  <c r="BB63" i="2"/>
  <c r="BB64" i="2"/>
  <c r="I19" i="4"/>
  <c r="I18" i="4"/>
  <c r="O19" i="4"/>
  <c r="O18" i="4"/>
  <c r="U19" i="4"/>
  <c r="U18" i="4"/>
  <c r="AA19" i="4"/>
  <c r="AA18" i="4"/>
  <c r="AG19" i="4"/>
  <c r="AG18" i="4"/>
  <c r="AM19" i="4"/>
  <c r="AM18" i="4"/>
  <c r="D18" i="7"/>
  <c r="F18" i="7" s="1"/>
  <c r="D19" i="7"/>
  <c r="F19" i="7" s="1"/>
  <c r="D20" i="7"/>
  <c r="F20" i="7" s="1"/>
  <c r="N19" i="2"/>
  <c r="D21" i="7"/>
  <c r="F21" i="7" s="1"/>
  <c r="N20" i="2"/>
  <c r="O19" i="10" s="1"/>
  <c r="D22" i="7"/>
  <c r="F22" i="7" s="1"/>
  <c r="N21" i="2"/>
  <c r="D23" i="7"/>
  <c r="F23" i="7" s="1"/>
  <c r="N22" i="2"/>
  <c r="E23" i="4" s="1"/>
  <c r="D24" i="7"/>
  <c r="F24" i="7" s="1"/>
  <c r="N23" i="2"/>
  <c r="D25" i="7"/>
  <c r="F25" i="7" s="1"/>
  <c r="N24" i="2"/>
  <c r="O23" i="10" s="1"/>
  <c r="D26" i="7"/>
  <c r="F26" i="7" s="1"/>
  <c r="N25" i="2"/>
  <c r="B27" i="7" s="1"/>
  <c r="D27" i="7"/>
  <c r="F27" i="7" s="1"/>
  <c r="N26" i="2"/>
  <c r="B28" i="7" s="1"/>
  <c r="D28" i="7"/>
  <c r="F28" i="7" s="1"/>
  <c r="N27" i="2"/>
  <c r="E28" i="4" s="1"/>
  <c r="D29" i="7"/>
  <c r="F29" i="7" s="1"/>
  <c r="N28" i="2"/>
  <c r="D30" i="7"/>
  <c r="F30" i="7" s="1"/>
  <c r="N29" i="2"/>
  <c r="E30" i="4" s="1"/>
  <c r="D31" i="7"/>
  <c r="F31" i="7" s="1"/>
  <c r="N30" i="2"/>
  <c r="D32" i="7"/>
  <c r="F32" i="7" s="1"/>
  <c r="N31" i="2"/>
  <c r="D33" i="7"/>
  <c r="F33" i="7" s="1"/>
  <c r="N32" i="2"/>
  <c r="D34" i="7"/>
  <c r="F34" i="7" s="1"/>
  <c r="N33" i="2"/>
  <c r="B35" i="7" s="1"/>
  <c r="D35" i="7"/>
  <c r="F35" i="7" s="1"/>
  <c r="N34" i="2"/>
  <c r="D36" i="7"/>
  <c r="F36" i="7" s="1"/>
  <c r="N35" i="2"/>
  <c r="D37" i="7"/>
  <c r="F37" i="7" s="1"/>
  <c r="N36" i="2"/>
  <c r="B38" i="7" s="1"/>
  <c r="D38" i="7"/>
  <c r="F38" i="7" s="1"/>
  <c r="N37" i="2"/>
  <c r="D39" i="7"/>
  <c r="F39" i="7" s="1"/>
  <c r="N38" i="2"/>
  <c r="E39" i="4" s="1"/>
  <c r="D40" i="7"/>
  <c r="F40" i="7" s="1"/>
  <c r="N39" i="2"/>
  <c r="D41" i="7"/>
  <c r="F41" i="7" s="1"/>
  <c r="N40" i="2"/>
  <c r="B42" i="7" s="1"/>
  <c r="H37" i="11" s="1"/>
  <c r="D42" i="7"/>
  <c r="F42" i="7" s="1"/>
  <c r="N41" i="2"/>
  <c r="B43" i="7" s="1"/>
  <c r="H38" i="11" s="1"/>
  <c r="D43" i="7"/>
  <c r="F43" i="7" s="1"/>
  <c r="D44" i="7"/>
  <c r="F44" i="7" s="1"/>
  <c r="D45" i="7"/>
  <c r="F45" i="7" s="1"/>
  <c r="N44" i="2"/>
  <c r="D46" i="7"/>
  <c r="F46" i="7" s="1"/>
  <c r="N45" i="2"/>
  <c r="B47" i="7" s="1"/>
  <c r="H42" i="11" s="1"/>
  <c r="D47" i="7"/>
  <c r="F47" i="7" s="1"/>
  <c r="N46" i="2"/>
  <c r="O45" i="10" s="1"/>
  <c r="D48" i="7"/>
  <c r="F48" i="7" s="1"/>
  <c r="N47" i="2"/>
  <c r="B49" i="7" s="1"/>
  <c r="H44" i="11" s="1"/>
  <c r="D49" i="7"/>
  <c r="F49" i="7" s="1"/>
  <c r="N48" i="2"/>
  <c r="B50" i="7" s="1"/>
  <c r="H45" i="11" s="1"/>
  <c r="D50" i="7"/>
  <c r="F50" i="7" s="1"/>
  <c r="N49" i="2"/>
  <c r="E50" i="4" s="1"/>
  <c r="D51" i="7"/>
  <c r="F51" i="7" s="1"/>
  <c r="N50" i="2"/>
  <c r="B52" i="7" s="1"/>
  <c r="H47" i="11" s="1"/>
  <c r="D52" i="7"/>
  <c r="F52" i="7" s="1"/>
  <c r="N51" i="2"/>
  <c r="O50" i="10" s="1"/>
  <c r="D53" i="7"/>
  <c r="F53" i="7" s="1"/>
  <c r="N52" i="2"/>
  <c r="B54" i="7" s="1"/>
  <c r="H49" i="11" s="1"/>
  <c r="D54" i="7"/>
  <c r="F54" i="7" s="1"/>
  <c r="N53" i="2"/>
  <c r="D55" i="7"/>
  <c r="F55" i="7" s="1"/>
  <c r="N54" i="2"/>
  <c r="D56" i="7"/>
  <c r="F56" i="7" s="1"/>
  <c r="N55" i="2"/>
  <c r="B57" i="7" s="1"/>
  <c r="H52" i="11" s="1"/>
  <c r="D57" i="7"/>
  <c r="N56" i="2"/>
  <c r="B58" i="7" s="1"/>
  <c r="H53" i="11" s="1"/>
  <c r="D58" i="7"/>
  <c r="F58" i="7" s="1"/>
  <c r="N57" i="2"/>
  <c r="D59" i="7"/>
  <c r="F59" i="7" s="1"/>
  <c r="N58" i="2"/>
  <c r="O57" i="10" s="1"/>
  <c r="D60" i="7"/>
  <c r="F60" i="7" s="1"/>
  <c r="D61" i="7"/>
  <c r="F61" i="7" s="1"/>
  <c r="D62" i="7"/>
  <c r="F62" i="7" s="1"/>
  <c r="D63" i="7"/>
  <c r="F63" i="7" s="1"/>
  <c r="D64" i="7"/>
  <c r="F64" i="7" s="1"/>
  <c r="D65" i="7"/>
  <c r="F65" i="7" s="1"/>
  <c r="D66" i="7"/>
  <c r="F66" i="7" s="1"/>
  <c r="D67" i="7"/>
  <c r="F67" i="7" s="1"/>
  <c r="B16" i="7"/>
  <c r="D16" i="7"/>
  <c r="F16" i="7" s="1"/>
  <c r="B17" i="7"/>
  <c r="D17" i="7"/>
  <c r="F17" i="7" s="1"/>
  <c r="B59" i="2"/>
  <c r="R59" i="2" s="1"/>
  <c r="B58" i="2"/>
  <c r="R58" i="2" s="1"/>
  <c r="C59" i="2"/>
  <c r="X59" i="2" s="1"/>
  <c r="C58" i="2"/>
  <c r="X58" i="2" s="1"/>
  <c r="D59" i="2"/>
  <c r="AD59" i="2" s="1"/>
  <c r="D58" i="2"/>
  <c r="AD58" i="2" s="1"/>
  <c r="E59" i="2"/>
  <c r="AJ59" i="2" s="1"/>
  <c r="E58" i="2"/>
  <c r="AJ58" i="2" s="1"/>
  <c r="F59" i="2"/>
  <c r="AP59" i="2" s="1"/>
  <c r="F58" i="2"/>
  <c r="AP58" i="2" s="1"/>
  <c r="G59" i="2"/>
  <c r="AV59" i="2" s="1"/>
  <c r="G58" i="2"/>
  <c r="AV58" i="2" s="1"/>
  <c r="I60" i="4"/>
  <c r="L58" i="10" s="1"/>
  <c r="I59" i="4"/>
  <c r="O60" i="4"/>
  <c r="O59" i="4"/>
  <c r="U60" i="4"/>
  <c r="U59" i="4"/>
  <c r="AA60" i="4"/>
  <c r="AA59" i="4"/>
  <c r="AG60" i="4"/>
  <c r="AG59" i="4"/>
  <c r="AM60" i="4"/>
  <c r="AM59" i="4"/>
  <c r="G61" i="7"/>
  <c r="G61" i="8"/>
  <c r="O61" i="7" s="1"/>
  <c r="F61" i="8"/>
  <c r="P61" i="7" s="1"/>
  <c r="I15" i="4"/>
  <c r="L13" i="10" s="1"/>
  <c r="O15" i="4"/>
  <c r="U15" i="4"/>
  <c r="AA15" i="4"/>
  <c r="AG15" i="4"/>
  <c r="AM15" i="4"/>
  <c r="G16" i="7"/>
  <c r="G16" i="8"/>
  <c r="O16" i="7" s="1"/>
  <c r="G66" i="7"/>
  <c r="F66" i="8"/>
  <c r="P66" i="7" s="1"/>
  <c r="B64" i="2"/>
  <c r="R64" i="2" s="1"/>
  <c r="B63" i="2"/>
  <c r="R63" i="2" s="1"/>
  <c r="C64" i="2"/>
  <c r="X64" i="2" s="1"/>
  <c r="C63" i="2"/>
  <c r="X63" i="2" s="1"/>
  <c r="D64" i="2"/>
  <c r="AD64" i="2" s="1"/>
  <c r="D63" i="2"/>
  <c r="AD63" i="2" s="1"/>
  <c r="E64" i="2"/>
  <c r="AJ64" i="2" s="1"/>
  <c r="E63" i="2"/>
  <c r="AJ63" i="2" s="1"/>
  <c r="F64" i="2"/>
  <c r="AP64" i="2" s="1"/>
  <c r="F63" i="2"/>
  <c r="AP63" i="2" s="1"/>
  <c r="G64" i="2"/>
  <c r="AV64" i="2" s="1"/>
  <c r="G63" i="2"/>
  <c r="AV63" i="2" s="1"/>
  <c r="I65" i="4"/>
  <c r="I64" i="4"/>
  <c r="L62" i="10" s="1"/>
  <c r="O65" i="4"/>
  <c r="O64" i="4"/>
  <c r="U65" i="4"/>
  <c r="U64" i="4"/>
  <c r="AA65" i="4"/>
  <c r="AA64" i="4"/>
  <c r="AG65" i="4"/>
  <c r="AG64" i="4"/>
  <c r="AM65" i="4"/>
  <c r="AM64" i="4"/>
  <c r="O68" i="4"/>
  <c r="O67" i="4"/>
  <c r="U68" i="4"/>
  <c r="U67" i="4"/>
  <c r="AA68" i="4"/>
  <c r="AA67" i="4"/>
  <c r="AG68" i="4"/>
  <c r="AG67" i="4"/>
  <c r="AM67" i="4"/>
  <c r="O69" i="4"/>
  <c r="U69" i="4"/>
  <c r="AA69" i="4"/>
  <c r="AN70" i="4"/>
  <c r="AG61" i="4"/>
  <c r="AM61" i="4"/>
  <c r="AG62" i="4"/>
  <c r="AM62" i="4"/>
  <c r="AG63" i="4"/>
  <c r="AM63" i="4"/>
  <c r="AG66" i="4"/>
  <c r="AM66" i="4"/>
  <c r="BL70" i="4"/>
  <c r="AG16" i="4"/>
  <c r="AM16" i="4"/>
  <c r="AG17" i="4"/>
  <c r="AM17" i="4"/>
  <c r="AG20" i="4"/>
  <c r="AM20" i="4"/>
  <c r="AG21" i="4"/>
  <c r="AM21" i="4"/>
  <c r="AG22" i="4"/>
  <c r="AM22" i="4"/>
  <c r="AG23" i="4"/>
  <c r="AM23" i="4"/>
  <c r="AG24" i="4"/>
  <c r="AM24" i="4"/>
  <c r="AG25" i="4"/>
  <c r="AM25" i="4"/>
  <c r="AG26" i="4"/>
  <c r="AM26" i="4"/>
  <c r="AG27" i="4"/>
  <c r="AM27" i="4"/>
  <c r="AG28" i="4"/>
  <c r="AM28" i="4"/>
  <c r="AG29" i="4"/>
  <c r="AM29" i="4"/>
  <c r="AG30" i="4"/>
  <c r="AM30" i="4"/>
  <c r="AG31" i="4"/>
  <c r="AM31" i="4"/>
  <c r="AG32" i="4"/>
  <c r="AM32" i="4"/>
  <c r="AG33" i="4"/>
  <c r="AM33" i="4"/>
  <c r="AG34" i="4"/>
  <c r="AM34" i="4"/>
  <c r="AG35" i="4"/>
  <c r="AM35" i="4"/>
  <c r="AG36" i="4"/>
  <c r="AM36" i="4"/>
  <c r="AG37" i="4"/>
  <c r="AM37" i="4"/>
  <c r="AG38" i="4"/>
  <c r="AM38" i="4"/>
  <c r="AG39" i="4"/>
  <c r="AM39" i="4"/>
  <c r="AG40" i="4"/>
  <c r="AM40" i="4"/>
  <c r="AG41" i="4"/>
  <c r="AM41" i="4"/>
  <c r="AG42" i="4"/>
  <c r="AM42" i="4"/>
  <c r="AM43" i="4"/>
  <c r="AM44" i="4"/>
  <c r="AG45" i="4"/>
  <c r="AM45" i="4"/>
  <c r="AG46" i="4"/>
  <c r="AM46" i="4"/>
  <c r="AG47" i="4"/>
  <c r="AM47" i="4"/>
  <c r="AG48" i="4"/>
  <c r="AM48" i="4"/>
  <c r="AG49" i="4"/>
  <c r="AM49" i="4"/>
  <c r="AG50" i="4"/>
  <c r="AM50" i="4"/>
  <c r="AG51" i="4"/>
  <c r="AM51" i="4"/>
  <c r="AG52" i="4"/>
  <c r="AM52" i="4"/>
  <c r="AG53" i="4"/>
  <c r="AM53" i="4"/>
  <c r="AG54" i="4"/>
  <c r="AM54" i="4"/>
  <c r="AG55" i="4"/>
  <c r="AM55" i="4"/>
  <c r="AG56" i="4"/>
  <c r="AM56" i="4"/>
  <c r="AG57" i="4"/>
  <c r="AM57" i="4"/>
  <c r="AG58" i="4"/>
  <c r="AM58" i="4"/>
  <c r="I16" i="4"/>
  <c r="I49" i="4"/>
  <c r="L47" i="10" s="1"/>
  <c r="I50" i="4"/>
  <c r="L48" i="10" s="1"/>
  <c r="I51" i="4"/>
  <c r="I52" i="4"/>
  <c r="L50" i="10" s="1"/>
  <c r="I61" i="4"/>
  <c r="L59" i="10" s="1"/>
  <c r="I62" i="4"/>
  <c r="L60" i="10" s="1"/>
  <c r="I58" i="4"/>
  <c r="L56" i="10" s="1"/>
  <c r="I57" i="4"/>
  <c r="B62" i="2"/>
  <c r="R62" i="2" s="1"/>
  <c r="B61" i="2"/>
  <c r="R61" i="2" s="1"/>
  <c r="C62" i="2"/>
  <c r="X62" i="2" s="1"/>
  <c r="C61" i="2"/>
  <c r="X61" i="2" s="1"/>
  <c r="D62" i="2"/>
  <c r="AD62" i="2" s="1"/>
  <c r="D61" i="2"/>
  <c r="AD61" i="2" s="1"/>
  <c r="E62" i="2"/>
  <c r="AJ62" i="2" s="1"/>
  <c r="E61" i="2"/>
  <c r="AJ61" i="2" s="1"/>
  <c r="F62" i="2"/>
  <c r="AP62" i="2" s="1"/>
  <c r="F61" i="2"/>
  <c r="AP61" i="2" s="1"/>
  <c r="G62" i="2"/>
  <c r="AV62" i="2" s="1"/>
  <c r="G61" i="2"/>
  <c r="AV61" i="2" s="1"/>
  <c r="I63" i="4"/>
  <c r="O63" i="4"/>
  <c r="O62" i="4"/>
  <c r="U63" i="4"/>
  <c r="U62" i="4"/>
  <c r="AA63" i="4"/>
  <c r="AA62" i="4"/>
  <c r="C71" i="8"/>
  <c r="L71" i="7" s="1"/>
  <c r="C70" i="8"/>
  <c r="L70" i="7" s="1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D53" i="11"/>
  <c r="M55" i="10" s="1"/>
  <c r="D54" i="11"/>
  <c r="M56" i="10" s="1"/>
  <c r="D55" i="11"/>
  <c r="M57" i="10" s="1"/>
  <c r="D56" i="11"/>
  <c r="M58" i="10" s="1"/>
  <c r="M59" i="10"/>
  <c r="M60" i="10"/>
  <c r="M61" i="10"/>
  <c r="M62" i="10"/>
  <c r="M11" i="10"/>
  <c r="B53" i="2"/>
  <c r="R53" i="2" s="1"/>
  <c r="B52" i="2"/>
  <c r="C53" i="2"/>
  <c r="X53" i="2" s="1"/>
  <c r="C52" i="2"/>
  <c r="X52" i="2" s="1"/>
  <c r="D53" i="2"/>
  <c r="AD53" i="2" s="1"/>
  <c r="D52" i="2"/>
  <c r="AD52" i="2" s="1"/>
  <c r="E53" i="2"/>
  <c r="AJ53" i="2" s="1"/>
  <c r="E52" i="2"/>
  <c r="AJ52" i="2" s="1"/>
  <c r="F53" i="2"/>
  <c r="AP53" i="2" s="1"/>
  <c r="F52" i="2"/>
  <c r="AP52" i="2" s="1"/>
  <c r="G53" i="2"/>
  <c r="AV53" i="2" s="1"/>
  <c r="G52" i="2"/>
  <c r="AV52" i="2" s="1"/>
  <c r="I54" i="4"/>
  <c r="I53" i="4"/>
  <c r="O54" i="4"/>
  <c r="O53" i="4"/>
  <c r="U54" i="4"/>
  <c r="U53" i="4"/>
  <c r="AA54" i="4"/>
  <c r="AA53" i="4"/>
  <c r="B33" i="2"/>
  <c r="R33" i="2" s="1"/>
  <c r="B32" i="2"/>
  <c r="R32" i="2" s="1"/>
  <c r="C33" i="2"/>
  <c r="X33" i="2" s="1"/>
  <c r="C32" i="2"/>
  <c r="X32" i="2" s="1"/>
  <c r="D33" i="2"/>
  <c r="AD33" i="2" s="1"/>
  <c r="D32" i="2"/>
  <c r="AD32" i="2" s="1"/>
  <c r="E33" i="2"/>
  <c r="AJ33" i="2" s="1"/>
  <c r="E32" i="2"/>
  <c r="AJ32" i="2" s="1"/>
  <c r="F33" i="2"/>
  <c r="AP33" i="2" s="1"/>
  <c r="F32" i="2"/>
  <c r="AP32" i="2" s="1"/>
  <c r="G33" i="2"/>
  <c r="AV33" i="2" s="1"/>
  <c r="G32" i="2"/>
  <c r="AV32" i="2" s="1"/>
  <c r="B39" i="2"/>
  <c r="R39" i="2" s="1"/>
  <c r="B38" i="2"/>
  <c r="R38" i="2" s="1"/>
  <c r="C17" i="4"/>
  <c r="D17" i="4" s="1"/>
  <c r="C18" i="4"/>
  <c r="D18" i="4" s="1"/>
  <c r="C21" i="4"/>
  <c r="D21" i="4" s="1"/>
  <c r="C22" i="4"/>
  <c r="D22" i="4" s="1"/>
  <c r="C23" i="4"/>
  <c r="D23" i="4" s="1"/>
  <c r="C24" i="4"/>
  <c r="D24" i="4" s="1"/>
  <c r="C27" i="4"/>
  <c r="D27" i="4" s="1"/>
  <c r="C28" i="4"/>
  <c r="D28" i="4" s="1"/>
  <c r="C29" i="4"/>
  <c r="D29" i="4" s="1"/>
  <c r="C30" i="4"/>
  <c r="D30" i="4" s="1"/>
  <c r="C32" i="4"/>
  <c r="D32" i="4" s="1"/>
  <c r="C33" i="4"/>
  <c r="D33" i="4" s="1"/>
  <c r="C36" i="4"/>
  <c r="D36" i="4" s="1"/>
  <c r="C37" i="4"/>
  <c r="D37" i="4" s="1"/>
  <c r="C38" i="4"/>
  <c r="D38" i="4" s="1"/>
  <c r="C43" i="4"/>
  <c r="D43" i="4" s="1"/>
  <c r="C45" i="4"/>
  <c r="D45" i="4" s="1"/>
  <c r="C46" i="4"/>
  <c r="D46" i="4" s="1"/>
  <c r="C47" i="4"/>
  <c r="D47" i="4" s="1"/>
  <c r="C48" i="4"/>
  <c r="D48" i="4" s="1"/>
  <c r="C50" i="4"/>
  <c r="D50" i="4" s="1"/>
  <c r="C53" i="4"/>
  <c r="D53" i="4" s="1"/>
  <c r="C56" i="4"/>
  <c r="D56" i="4" s="1"/>
  <c r="C57" i="4"/>
  <c r="D57" i="4" s="1"/>
  <c r="C58" i="4"/>
  <c r="D58" i="4" s="1"/>
  <c r="H48" i="1"/>
  <c r="AR69" i="4"/>
  <c r="I17" i="4"/>
  <c r="L15" i="10" s="1"/>
  <c r="I20" i="4"/>
  <c r="I21" i="4"/>
  <c r="I22" i="4"/>
  <c r="L20" i="10" s="1"/>
  <c r="I23" i="4"/>
  <c r="L21" i="10" s="1"/>
  <c r="I24" i="4"/>
  <c r="I25" i="4"/>
  <c r="L23" i="10" s="1"/>
  <c r="I26" i="4"/>
  <c r="I27" i="4"/>
  <c r="I28" i="4"/>
  <c r="L26" i="10" s="1"/>
  <c r="I29" i="4"/>
  <c r="I30" i="4"/>
  <c r="I31" i="4"/>
  <c r="I32" i="4"/>
  <c r="L30" i="10" s="1"/>
  <c r="I33" i="4"/>
  <c r="L31" i="10" s="1"/>
  <c r="I34" i="4"/>
  <c r="L32" i="10" s="1"/>
  <c r="I35" i="4"/>
  <c r="L33" i="10" s="1"/>
  <c r="I36" i="4"/>
  <c r="L34" i="10" s="1"/>
  <c r="I37" i="4"/>
  <c r="I38" i="4"/>
  <c r="L36" i="10" s="1"/>
  <c r="I39" i="4"/>
  <c r="L37" i="10" s="1"/>
  <c r="I40" i="4"/>
  <c r="I41" i="4"/>
  <c r="I42" i="4"/>
  <c r="I43" i="4"/>
  <c r="L41" i="10" s="1"/>
  <c r="I44" i="4"/>
  <c r="L42" i="10" s="1"/>
  <c r="I45" i="4"/>
  <c r="I46" i="4"/>
  <c r="I47" i="4"/>
  <c r="I48" i="4"/>
  <c r="I55" i="4"/>
  <c r="L53" i="10" s="1"/>
  <c r="I56" i="4"/>
  <c r="G67" i="7"/>
  <c r="F67" i="8"/>
  <c r="P67" i="7" s="1"/>
  <c r="O66" i="4"/>
  <c r="U66" i="4"/>
  <c r="AA66" i="4"/>
  <c r="C66" i="8"/>
  <c r="L66" i="7" s="1"/>
  <c r="C67" i="8"/>
  <c r="L67" i="7" s="1"/>
  <c r="C68" i="8"/>
  <c r="L68" i="7" s="1"/>
  <c r="C69" i="8"/>
  <c r="L69" i="7" s="1"/>
  <c r="AR68" i="4"/>
  <c r="AR66" i="4"/>
  <c r="AR67" i="4"/>
  <c r="AL66" i="4"/>
  <c r="AL67" i="4"/>
  <c r="AL68" i="4"/>
  <c r="AF66" i="4"/>
  <c r="AF67" i="4"/>
  <c r="AF68" i="4"/>
  <c r="F64" i="8"/>
  <c r="P64" i="7" s="1"/>
  <c r="F65" i="8"/>
  <c r="P65" i="7" s="1"/>
  <c r="C64" i="8"/>
  <c r="L64" i="7" s="1"/>
  <c r="C65" i="8"/>
  <c r="L65" i="7" s="1"/>
  <c r="G64" i="7"/>
  <c r="G65" i="7"/>
  <c r="G62" i="7"/>
  <c r="G64" i="8"/>
  <c r="O64" i="7" s="1"/>
  <c r="G65" i="8"/>
  <c r="O65" i="7" s="1"/>
  <c r="P81" i="8"/>
  <c r="AR63" i="4"/>
  <c r="AR64" i="4"/>
  <c r="AR62" i="4"/>
  <c r="AL63" i="4"/>
  <c r="AL64" i="4"/>
  <c r="AL62" i="4"/>
  <c r="AF63" i="4"/>
  <c r="AF64" i="4"/>
  <c r="AF62" i="4"/>
  <c r="C63" i="8"/>
  <c r="L63" i="7" s="1"/>
  <c r="C61" i="8"/>
  <c r="L61" i="7" s="1"/>
  <c r="C59" i="8"/>
  <c r="L59" i="7" s="1"/>
  <c r="C57" i="8"/>
  <c r="L57" i="7" s="1"/>
  <c r="C55" i="8"/>
  <c r="L55" i="7" s="1"/>
  <c r="C53" i="8"/>
  <c r="L53" i="7" s="1"/>
  <c r="C51" i="8"/>
  <c r="L51" i="7" s="1"/>
  <c r="C49" i="8"/>
  <c r="L49" i="7" s="1"/>
  <c r="C47" i="8"/>
  <c r="L47" i="7" s="1"/>
  <c r="C45" i="8"/>
  <c r="L45" i="7" s="1"/>
  <c r="C43" i="8"/>
  <c r="L43" i="7" s="1"/>
  <c r="C41" i="8"/>
  <c r="L41" i="7" s="1"/>
  <c r="C39" i="8"/>
  <c r="L39" i="7" s="1"/>
  <c r="C37" i="8"/>
  <c r="L37" i="7" s="1"/>
  <c r="C35" i="8"/>
  <c r="L35" i="7" s="1"/>
  <c r="C33" i="8"/>
  <c r="L33" i="7" s="1"/>
  <c r="C31" i="8"/>
  <c r="L31" i="7" s="1"/>
  <c r="C29" i="8"/>
  <c r="L29" i="7" s="1"/>
  <c r="C27" i="8"/>
  <c r="L27" i="7" s="1"/>
  <c r="C25" i="8"/>
  <c r="L25" i="7" s="1"/>
  <c r="C23" i="8"/>
  <c r="L23" i="7" s="1"/>
  <c r="C21" i="8"/>
  <c r="L21" i="7" s="1"/>
  <c r="C19" i="8"/>
  <c r="L19" i="7" s="1"/>
  <c r="C17" i="8"/>
  <c r="L17" i="7" s="1"/>
  <c r="C15" i="8"/>
  <c r="L15" i="7" s="1"/>
  <c r="C16" i="8"/>
  <c r="L16" i="7" s="1"/>
  <c r="C18" i="8"/>
  <c r="L18" i="7" s="1"/>
  <c r="C20" i="8"/>
  <c r="L20" i="7" s="1"/>
  <c r="C22" i="8"/>
  <c r="L22" i="7" s="1"/>
  <c r="C24" i="8"/>
  <c r="L24" i="7" s="1"/>
  <c r="C26" i="8"/>
  <c r="L26" i="7" s="1"/>
  <c r="C28" i="8"/>
  <c r="L28" i="7" s="1"/>
  <c r="C30" i="8"/>
  <c r="L30" i="7" s="1"/>
  <c r="C32" i="8"/>
  <c r="L32" i="7" s="1"/>
  <c r="C34" i="8"/>
  <c r="L34" i="7" s="1"/>
  <c r="C36" i="8"/>
  <c r="L36" i="7" s="1"/>
  <c r="C38" i="8"/>
  <c r="L38" i="7" s="1"/>
  <c r="C40" i="8"/>
  <c r="L40" i="7" s="1"/>
  <c r="C42" i="8"/>
  <c r="L42" i="7" s="1"/>
  <c r="C44" i="8"/>
  <c r="L44" i="7" s="1"/>
  <c r="C46" i="8"/>
  <c r="L46" i="7" s="1"/>
  <c r="C48" i="8"/>
  <c r="L48" i="7" s="1"/>
  <c r="C50" i="8"/>
  <c r="L50" i="7" s="1"/>
  <c r="C52" i="8"/>
  <c r="L52" i="7" s="1"/>
  <c r="C54" i="8"/>
  <c r="L54" i="7" s="1"/>
  <c r="C56" i="8"/>
  <c r="L56" i="7" s="1"/>
  <c r="C58" i="8"/>
  <c r="L58" i="7" s="1"/>
  <c r="C60" i="8"/>
  <c r="L60" i="7" s="1"/>
  <c r="C62" i="8"/>
  <c r="L62" i="7" s="1"/>
  <c r="G63" i="7"/>
  <c r="F62" i="8"/>
  <c r="P62" i="7" s="1"/>
  <c r="F63" i="8"/>
  <c r="P63" i="7" s="1"/>
  <c r="G62" i="8"/>
  <c r="O62" i="7" s="1"/>
  <c r="G63" i="8"/>
  <c r="O63" i="7" s="1"/>
  <c r="P78" i="8"/>
  <c r="P75" i="8"/>
  <c r="P72" i="8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14" i="7"/>
  <c r="D14" i="7"/>
  <c r="F14" i="7" s="1"/>
  <c r="AA61" i="4"/>
  <c r="U61" i="4"/>
  <c r="O61" i="4"/>
  <c r="B60" i="2"/>
  <c r="R60" i="2" s="1"/>
  <c r="C60" i="2"/>
  <c r="X60" i="2" s="1"/>
  <c r="D60" i="2"/>
  <c r="AD60" i="2" s="1"/>
  <c r="E60" i="2"/>
  <c r="AJ60" i="2" s="1"/>
  <c r="F60" i="2"/>
  <c r="AP60" i="2" s="1"/>
  <c r="G60" i="2"/>
  <c r="AV60" i="2" s="1"/>
  <c r="AA16" i="4"/>
  <c r="AA17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5" i="4"/>
  <c r="AA56" i="4"/>
  <c r="AA57" i="4"/>
  <c r="AA58" i="4"/>
  <c r="U16" i="4"/>
  <c r="U17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5" i="4"/>
  <c r="U56" i="4"/>
  <c r="U57" i="4"/>
  <c r="U58" i="4"/>
  <c r="O16" i="4"/>
  <c r="O17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5" i="4"/>
  <c r="O56" i="4"/>
  <c r="O57" i="4"/>
  <c r="O58" i="4"/>
  <c r="G19" i="2"/>
  <c r="AV19" i="2" s="1"/>
  <c r="G20" i="2"/>
  <c r="AV20" i="2" s="1"/>
  <c r="G21" i="2"/>
  <c r="AV21" i="2" s="1"/>
  <c r="G22" i="2"/>
  <c r="AV22" i="2" s="1"/>
  <c r="G23" i="2"/>
  <c r="AV23" i="2" s="1"/>
  <c r="G24" i="2"/>
  <c r="AV24" i="2" s="1"/>
  <c r="G25" i="2"/>
  <c r="AV25" i="2" s="1"/>
  <c r="G26" i="2"/>
  <c r="AV26" i="2" s="1"/>
  <c r="G27" i="2"/>
  <c r="AV27" i="2" s="1"/>
  <c r="G28" i="2"/>
  <c r="AV28" i="2" s="1"/>
  <c r="G29" i="2"/>
  <c r="AV29" i="2" s="1"/>
  <c r="G30" i="2"/>
  <c r="AV30" i="2" s="1"/>
  <c r="G31" i="2"/>
  <c r="AV31" i="2" s="1"/>
  <c r="G34" i="2"/>
  <c r="AV34" i="2" s="1"/>
  <c r="G35" i="2"/>
  <c r="AV35" i="2" s="1"/>
  <c r="G36" i="2"/>
  <c r="AV36" i="2" s="1"/>
  <c r="G37" i="2"/>
  <c r="AV37" i="2" s="1"/>
  <c r="G38" i="2"/>
  <c r="AV38" i="2" s="1"/>
  <c r="G39" i="2"/>
  <c r="AV39" i="2" s="1"/>
  <c r="G40" i="2"/>
  <c r="AV40" i="2" s="1"/>
  <c r="G41" i="2"/>
  <c r="AV41" i="2" s="1"/>
  <c r="G42" i="2"/>
  <c r="AV42" i="2" s="1"/>
  <c r="G43" i="2"/>
  <c r="AV43" i="2" s="1"/>
  <c r="G44" i="2"/>
  <c r="AV44" i="2" s="1"/>
  <c r="G45" i="2"/>
  <c r="AV45" i="2" s="1"/>
  <c r="G46" i="2"/>
  <c r="AV46" i="2" s="1"/>
  <c r="G47" i="2"/>
  <c r="AV47" i="2" s="1"/>
  <c r="G48" i="2"/>
  <c r="AV48" i="2" s="1"/>
  <c r="G49" i="2"/>
  <c r="AV49" i="2" s="1"/>
  <c r="G50" i="2"/>
  <c r="AV50" i="2" s="1"/>
  <c r="G51" i="2"/>
  <c r="AV51" i="2" s="1"/>
  <c r="G54" i="2"/>
  <c r="AV54" i="2" s="1"/>
  <c r="G55" i="2"/>
  <c r="AV55" i="2" s="1"/>
  <c r="G56" i="2"/>
  <c r="AV56" i="2" s="1"/>
  <c r="G57" i="2"/>
  <c r="AV57" i="2" s="1"/>
  <c r="F19" i="2"/>
  <c r="AP19" i="2" s="1"/>
  <c r="F20" i="2"/>
  <c r="AP20" i="2" s="1"/>
  <c r="F21" i="2"/>
  <c r="AP21" i="2" s="1"/>
  <c r="F22" i="2"/>
  <c r="AP22" i="2" s="1"/>
  <c r="F23" i="2"/>
  <c r="AP23" i="2" s="1"/>
  <c r="F24" i="2"/>
  <c r="AP24" i="2" s="1"/>
  <c r="F25" i="2"/>
  <c r="AP25" i="2" s="1"/>
  <c r="F26" i="2"/>
  <c r="AP26" i="2" s="1"/>
  <c r="F27" i="2"/>
  <c r="AP27" i="2" s="1"/>
  <c r="F28" i="2"/>
  <c r="F29" i="2"/>
  <c r="AP29" i="2" s="1"/>
  <c r="F30" i="2"/>
  <c r="AP30" i="2" s="1"/>
  <c r="F31" i="2"/>
  <c r="F34" i="2"/>
  <c r="AP34" i="2" s="1"/>
  <c r="F35" i="2"/>
  <c r="AP35" i="2" s="1"/>
  <c r="F36" i="2"/>
  <c r="AP36" i="2" s="1"/>
  <c r="F37" i="2"/>
  <c r="AP37" i="2" s="1"/>
  <c r="F38" i="2"/>
  <c r="AP38" i="2" s="1"/>
  <c r="F39" i="2"/>
  <c r="AP39" i="2" s="1"/>
  <c r="F40" i="2"/>
  <c r="AP40" i="2" s="1"/>
  <c r="F41" i="2"/>
  <c r="AP41" i="2" s="1"/>
  <c r="F42" i="2"/>
  <c r="AP42" i="2" s="1"/>
  <c r="F43" i="2"/>
  <c r="AP43" i="2" s="1"/>
  <c r="F44" i="2"/>
  <c r="AP44" i="2" s="1"/>
  <c r="F45" i="2"/>
  <c r="AP45" i="2" s="1"/>
  <c r="F46" i="2"/>
  <c r="F47" i="2"/>
  <c r="AP47" i="2" s="1"/>
  <c r="F48" i="2"/>
  <c r="AP48" i="2" s="1"/>
  <c r="F49" i="2"/>
  <c r="AP49" i="2" s="1"/>
  <c r="F50" i="2"/>
  <c r="AP50" i="2" s="1"/>
  <c r="F51" i="2"/>
  <c r="AP51" i="2" s="1"/>
  <c r="F54" i="2"/>
  <c r="AP54" i="2" s="1"/>
  <c r="F55" i="2"/>
  <c r="F56" i="2"/>
  <c r="F57" i="2"/>
  <c r="AP57" i="2" s="1"/>
  <c r="E19" i="2"/>
  <c r="AJ19" i="2" s="1"/>
  <c r="E20" i="2"/>
  <c r="AJ20" i="2" s="1"/>
  <c r="E21" i="2"/>
  <c r="AJ21" i="2" s="1"/>
  <c r="E22" i="2"/>
  <c r="AJ22" i="2" s="1"/>
  <c r="E23" i="2"/>
  <c r="E24" i="2"/>
  <c r="AJ24" i="2" s="1"/>
  <c r="E25" i="2"/>
  <c r="AJ25" i="2" s="1"/>
  <c r="E26" i="2"/>
  <c r="E27" i="2"/>
  <c r="AJ27" i="2" s="1"/>
  <c r="E28" i="2"/>
  <c r="AJ28" i="2" s="1"/>
  <c r="E29" i="2"/>
  <c r="AJ29" i="2" s="1"/>
  <c r="E30" i="2"/>
  <c r="AJ30" i="2" s="1"/>
  <c r="E31" i="2"/>
  <c r="AJ31" i="2" s="1"/>
  <c r="E34" i="2"/>
  <c r="AJ34" i="2" s="1"/>
  <c r="E35" i="2"/>
  <c r="AJ35" i="2" s="1"/>
  <c r="E36" i="2"/>
  <c r="E37" i="2"/>
  <c r="AJ37" i="2" s="1"/>
  <c r="E38" i="2"/>
  <c r="AJ38" i="2" s="1"/>
  <c r="E39" i="2"/>
  <c r="AJ39" i="2" s="1"/>
  <c r="E40" i="2"/>
  <c r="AJ40" i="2" s="1"/>
  <c r="E41" i="2"/>
  <c r="AJ41" i="2" s="1"/>
  <c r="E42" i="2"/>
  <c r="AJ42" i="2" s="1"/>
  <c r="E43" i="2"/>
  <c r="AJ43" i="2" s="1"/>
  <c r="E44" i="2"/>
  <c r="E45" i="2"/>
  <c r="AJ45" i="2" s="1"/>
  <c r="E46" i="2"/>
  <c r="AJ46" i="2" s="1"/>
  <c r="E47" i="2"/>
  <c r="AJ47" i="2" s="1"/>
  <c r="E48" i="2"/>
  <c r="AJ48" i="2" s="1"/>
  <c r="E49" i="2"/>
  <c r="E50" i="2"/>
  <c r="AJ50" i="2" s="1"/>
  <c r="E51" i="2"/>
  <c r="AJ51" i="2" s="1"/>
  <c r="E54" i="2"/>
  <c r="AJ54" i="2" s="1"/>
  <c r="E55" i="2"/>
  <c r="AJ55" i="2" s="1"/>
  <c r="E56" i="2"/>
  <c r="AJ56" i="2" s="1"/>
  <c r="E57" i="2"/>
  <c r="AJ57" i="2" s="1"/>
  <c r="D19" i="2"/>
  <c r="AD19" i="2" s="1"/>
  <c r="D20" i="2"/>
  <c r="D21" i="2"/>
  <c r="AD21" i="2" s="1"/>
  <c r="D22" i="2"/>
  <c r="AD22" i="2" s="1"/>
  <c r="D23" i="2"/>
  <c r="AD23" i="2" s="1"/>
  <c r="D24" i="2"/>
  <c r="AD24" i="2" s="1"/>
  <c r="D25" i="2"/>
  <c r="AD25" i="2" s="1"/>
  <c r="D26" i="2"/>
  <c r="AD26" i="2" s="1"/>
  <c r="D27" i="2"/>
  <c r="AD27" i="2" s="1"/>
  <c r="D28" i="2"/>
  <c r="AD28" i="2" s="1"/>
  <c r="D29" i="2"/>
  <c r="AD29" i="2" s="1"/>
  <c r="D30" i="2"/>
  <c r="AD30" i="2" s="1"/>
  <c r="D31" i="2"/>
  <c r="AD31" i="2" s="1"/>
  <c r="D34" i="2"/>
  <c r="AD34" i="2" s="1"/>
  <c r="D35" i="2"/>
  <c r="AD35" i="2" s="1"/>
  <c r="D36" i="2"/>
  <c r="AD36" i="2" s="1"/>
  <c r="D37" i="2"/>
  <c r="AD37" i="2" s="1"/>
  <c r="D38" i="2"/>
  <c r="AD38" i="2" s="1"/>
  <c r="D39" i="2"/>
  <c r="AD39" i="2" s="1"/>
  <c r="D40" i="2"/>
  <c r="AD40" i="2" s="1"/>
  <c r="D41" i="2"/>
  <c r="AD41" i="2" s="1"/>
  <c r="D42" i="2"/>
  <c r="AD42" i="2" s="1"/>
  <c r="D43" i="2"/>
  <c r="AD43" i="2" s="1"/>
  <c r="D44" i="2"/>
  <c r="AD44" i="2" s="1"/>
  <c r="D45" i="2"/>
  <c r="AD45" i="2" s="1"/>
  <c r="D46" i="2"/>
  <c r="AD46" i="2" s="1"/>
  <c r="D47" i="2"/>
  <c r="D48" i="2"/>
  <c r="AD48" i="2" s="1"/>
  <c r="D49" i="2"/>
  <c r="AD49" i="2" s="1"/>
  <c r="D50" i="2"/>
  <c r="AD50" i="2" s="1"/>
  <c r="D51" i="2"/>
  <c r="AD51" i="2" s="1"/>
  <c r="D54" i="2"/>
  <c r="D55" i="2"/>
  <c r="AD55" i="2" s="1"/>
  <c r="D56" i="2"/>
  <c r="AD56" i="2" s="1"/>
  <c r="D57" i="2"/>
  <c r="AD57" i="2" s="1"/>
  <c r="C19" i="2"/>
  <c r="X19" i="2" s="1"/>
  <c r="C20" i="2"/>
  <c r="X20" i="2" s="1"/>
  <c r="C21" i="2"/>
  <c r="X21" i="2" s="1"/>
  <c r="C22" i="2"/>
  <c r="X22" i="2" s="1"/>
  <c r="C23" i="2"/>
  <c r="X23" i="2" s="1"/>
  <c r="C24" i="2"/>
  <c r="X24" i="2" s="1"/>
  <c r="C25" i="2"/>
  <c r="X25" i="2" s="1"/>
  <c r="C26" i="2"/>
  <c r="X26" i="2" s="1"/>
  <c r="C27" i="2"/>
  <c r="X27" i="2" s="1"/>
  <c r="C28" i="2"/>
  <c r="X28" i="2" s="1"/>
  <c r="C29" i="2"/>
  <c r="X29" i="2" s="1"/>
  <c r="C30" i="2"/>
  <c r="X30" i="2" s="1"/>
  <c r="C31" i="2"/>
  <c r="X31" i="2" s="1"/>
  <c r="C34" i="2"/>
  <c r="X34" i="2" s="1"/>
  <c r="C35" i="2"/>
  <c r="X35" i="2" s="1"/>
  <c r="C36" i="2"/>
  <c r="X36" i="2" s="1"/>
  <c r="C37" i="2"/>
  <c r="X37" i="2" s="1"/>
  <c r="C38" i="2"/>
  <c r="X38" i="2" s="1"/>
  <c r="C39" i="2"/>
  <c r="C40" i="2"/>
  <c r="X40" i="2" s="1"/>
  <c r="C41" i="2"/>
  <c r="X41" i="2" s="1"/>
  <c r="C42" i="2"/>
  <c r="X42" i="2" s="1"/>
  <c r="C43" i="2"/>
  <c r="X43" i="2" s="1"/>
  <c r="C44" i="2"/>
  <c r="X44" i="2" s="1"/>
  <c r="C45" i="2"/>
  <c r="C46" i="2"/>
  <c r="X46" i="2" s="1"/>
  <c r="C47" i="2"/>
  <c r="X47" i="2" s="1"/>
  <c r="C48" i="2"/>
  <c r="C49" i="2"/>
  <c r="X49" i="2" s="1"/>
  <c r="C50" i="2"/>
  <c r="X50" i="2" s="1"/>
  <c r="C51" i="2"/>
  <c r="X51" i="2" s="1"/>
  <c r="C54" i="2"/>
  <c r="X54" i="2" s="1"/>
  <c r="C55" i="2"/>
  <c r="X55" i="2" s="1"/>
  <c r="C56" i="2"/>
  <c r="X56" i="2" s="1"/>
  <c r="C57" i="2"/>
  <c r="X57" i="2" s="1"/>
  <c r="B19" i="2"/>
  <c r="B20" i="2"/>
  <c r="R20" i="2" s="1"/>
  <c r="B21" i="2"/>
  <c r="R21" i="2" s="1"/>
  <c r="B22" i="2"/>
  <c r="R22" i="2" s="1"/>
  <c r="B23" i="2"/>
  <c r="R23" i="2" s="1"/>
  <c r="B24" i="2"/>
  <c r="R24" i="2" s="1"/>
  <c r="B25" i="2"/>
  <c r="B26" i="2"/>
  <c r="R26" i="2" s="1"/>
  <c r="B27" i="2"/>
  <c r="R27" i="2" s="1"/>
  <c r="B28" i="2"/>
  <c r="R28" i="2" s="1"/>
  <c r="B29" i="2"/>
  <c r="R29" i="2" s="1"/>
  <c r="B30" i="2"/>
  <c r="R30" i="2" s="1"/>
  <c r="B31" i="2"/>
  <c r="R31" i="2" s="1"/>
  <c r="B34" i="2"/>
  <c r="R34" i="2" s="1"/>
  <c r="B35" i="2"/>
  <c r="R35" i="2" s="1"/>
  <c r="B36" i="2"/>
  <c r="R36" i="2" s="1"/>
  <c r="B37" i="2"/>
  <c r="R37" i="2" s="1"/>
  <c r="B40" i="2"/>
  <c r="R40" i="2" s="1"/>
  <c r="B41" i="2"/>
  <c r="R41" i="2" s="1"/>
  <c r="B42" i="2"/>
  <c r="B43" i="2"/>
  <c r="B44" i="2"/>
  <c r="R44" i="2" s="1"/>
  <c r="B45" i="2"/>
  <c r="R45" i="2" s="1"/>
  <c r="B46" i="2"/>
  <c r="R46" i="2" s="1"/>
  <c r="B47" i="2"/>
  <c r="R47" i="2" s="1"/>
  <c r="B48" i="2"/>
  <c r="R48" i="2" s="1"/>
  <c r="B49" i="2"/>
  <c r="R49" i="2" s="1"/>
  <c r="B50" i="2"/>
  <c r="B51" i="2"/>
  <c r="B54" i="2"/>
  <c r="R54" i="2" s="1"/>
  <c r="B55" i="2"/>
  <c r="R55" i="2" s="1"/>
  <c r="B56" i="2"/>
  <c r="R56" i="2" s="1"/>
  <c r="B57" i="2"/>
  <c r="R57" i="2" s="1"/>
  <c r="G17" i="8"/>
  <c r="O17" i="7" s="1"/>
  <c r="F17" i="8"/>
  <c r="P17" i="7" s="1"/>
  <c r="G18" i="8"/>
  <c r="O18" i="7" s="1"/>
  <c r="F18" i="8"/>
  <c r="P18" i="7" s="1"/>
  <c r="G19" i="8"/>
  <c r="O19" i="7" s="1"/>
  <c r="F19" i="8"/>
  <c r="P19" i="7" s="1"/>
  <c r="G20" i="8"/>
  <c r="O20" i="7" s="1"/>
  <c r="F20" i="8"/>
  <c r="P20" i="7" s="1"/>
  <c r="G21" i="8"/>
  <c r="O21" i="7" s="1"/>
  <c r="F21" i="8"/>
  <c r="P21" i="7" s="1"/>
  <c r="G22" i="8"/>
  <c r="O22" i="7" s="1"/>
  <c r="F22" i="8"/>
  <c r="P22" i="7" s="1"/>
  <c r="G23" i="8"/>
  <c r="O23" i="7" s="1"/>
  <c r="F23" i="8"/>
  <c r="P23" i="7" s="1"/>
  <c r="G24" i="8"/>
  <c r="O24" i="7" s="1"/>
  <c r="G25" i="8"/>
  <c r="O25" i="7" s="1"/>
  <c r="F25" i="8"/>
  <c r="P25" i="7" s="1"/>
  <c r="G26" i="8"/>
  <c r="O26" i="7" s="1"/>
  <c r="F26" i="8"/>
  <c r="P26" i="7" s="1"/>
  <c r="G27" i="8"/>
  <c r="O27" i="7" s="1"/>
  <c r="F27" i="8"/>
  <c r="P27" i="7" s="1"/>
  <c r="G28" i="8"/>
  <c r="O28" i="7" s="1"/>
  <c r="F28" i="8"/>
  <c r="P28" i="7" s="1"/>
  <c r="G29" i="8"/>
  <c r="O29" i="7" s="1"/>
  <c r="F29" i="8"/>
  <c r="P29" i="7" s="1"/>
  <c r="G30" i="8"/>
  <c r="O30" i="7" s="1"/>
  <c r="F30" i="8"/>
  <c r="P30" i="7" s="1"/>
  <c r="G31" i="8"/>
  <c r="O31" i="7" s="1"/>
  <c r="F31" i="8"/>
  <c r="P31" i="7" s="1"/>
  <c r="G32" i="8"/>
  <c r="O32" i="7" s="1"/>
  <c r="F32" i="8"/>
  <c r="P32" i="7" s="1"/>
  <c r="G33" i="8"/>
  <c r="O33" i="7" s="1"/>
  <c r="F33" i="8"/>
  <c r="P33" i="7" s="1"/>
  <c r="G34" i="8"/>
  <c r="O34" i="7" s="1"/>
  <c r="F34" i="8"/>
  <c r="P34" i="7" s="1"/>
  <c r="G35" i="8"/>
  <c r="O35" i="7" s="1"/>
  <c r="F35" i="8"/>
  <c r="P35" i="7" s="1"/>
  <c r="G36" i="8"/>
  <c r="O36" i="7" s="1"/>
  <c r="F36" i="8"/>
  <c r="P36" i="7" s="1"/>
  <c r="G37" i="8"/>
  <c r="O37" i="7" s="1"/>
  <c r="F37" i="8"/>
  <c r="P37" i="7" s="1"/>
  <c r="G38" i="8"/>
  <c r="O38" i="7" s="1"/>
  <c r="F38" i="8"/>
  <c r="P38" i="7" s="1"/>
  <c r="G39" i="8"/>
  <c r="O39" i="7" s="1"/>
  <c r="F39" i="8"/>
  <c r="P39" i="7" s="1"/>
  <c r="G40" i="8"/>
  <c r="O40" i="7" s="1"/>
  <c r="F40" i="8"/>
  <c r="P40" i="7" s="1"/>
  <c r="G41" i="8"/>
  <c r="O41" i="7" s="1"/>
  <c r="F41" i="8"/>
  <c r="P41" i="7" s="1"/>
  <c r="G42" i="8"/>
  <c r="O42" i="7" s="1"/>
  <c r="F42" i="8"/>
  <c r="P42" i="7" s="1"/>
  <c r="G43" i="8"/>
  <c r="O43" i="7" s="1"/>
  <c r="F43" i="8"/>
  <c r="P43" i="7" s="1"/>
  <c r="G44" i="8"/>
  <c r="O44" i="7" s="1"/>
  <c r="F44" i="8"/>
  <c r="P44" i="7" s="1"/>
  <c r="G45" i="8"/>
  <c r="O45" i="7" s="1"/>
  <c r="F45" i="8"/>
  <c r="P45" i="7" s="1"/>
  <c r="G46" i="8"/>
  <c r="O46" i="7" s="1"/>
  <c r="F46" i="8"/>
  <c r="P46" i="7" s="1"/>
  <c r="G47" i="8"/>
  <c r="O47" i="7" s="1"/>
  <c r="F47" i="8"/>
  <c r="P47" i="7" s="1"/>
  <c r="G48" i="8"/>
  <c r="O48" i="7" s="1"/>
  <c r="F48" i="8"/>
  <c r="P48" i="7" s="1"/>
  <c r="G49" i="8"/>
  <c r="O49" i="7" s="1"/>
  <c r="F49" i="8"/>
  <c r="P49" i="7" s="1"/>
  <c r="G50" i="8"/>
  <c r="O50" i="7" s="1"/>
  <c r="F50" i="8"/>
  <c r="P50" i="7" s="1"/>
  <c r="G51" i="8"/>
  <c r="O51" i="7" s="1"/>
  <c r="F51" i="8"/>
  <c r="P51" i="7" s="1"/>
  <c r="G52" i="8"/>
  <c r="O52" i="7" s="1"/>
  <c r="G53" i="8"/>
  <c r="O53" i="7" s="1"/>
  <c r="F53" i="8"/>
  <c r="P53" i="7" s="1"/>
  <c r="G54" i="8"/>
  <c r="O54" i="7" s="1"/>
  <c r="F54" i="8"/>
  <c r="P54" i="7" s="1"/>
  <c r="G55" i="8"/>
  <c r="O55" i="7" s="1"/>
  <c r="F55" i="8"/>
  <c r="P55" i="7" s="1"/>
  <c r="F56" i="8"/>
  <c r="P56" i="7" s="1"/>
  <c r="G57" i="8"/>
  <c r="O57" i="7" s="1"/>
  <c r="F57" i="8"/>
  <c r="P57" i="7" s="1"/>
  <c r="G58" i="8"/>
  <c r="O58" i="7" s="1"/>
  <c r="F58" i="8"/>
  <c r="P58" i="7" s="1"/>
  <c r="G59" i="8"/>
  <c r="O59" i="7" s="1"/>
  <c r="F59" i="8"/>
  <c r="P59" i="7" s="1"/>
  <c r="G60" i="8"/>
  <c r="O60" i="7" s="1"/>
  <c r="F60" i="8"/>
  <c r="P60" i="7" s="1"/>
  <c r="P63" i="8"/>
  <c r="P66" i="8"/>
  <c r="P69" i="8"/>
  <c r="P60" i="8"/>
  <c r="P51" i="8"/>
  <c r="P54" i="8"/>
  <c r="P57" i="8"/>
  <c r="P48" i="8"/>
  <c r="P39" i="8"/>
  <c r="P42" i="8"/>
  <c r="P45" i="8"/>
  <c r="P36" i="8"/>
  <c r="P27" i="8"/>
  <c r="P30" i="8"/>
  <c r="P33" i="8"/>
  <c r="P15" i="8"/>
  <c r="P18" i="8"/>
  <c r="P21" i="8"/>
  <c r="P12" i="8"/>
  <c r="L123" i="8"/>
  <c r="L126" i="8"/>
  <c r="L129" i="8"/>
  <c r="L120" i="8"/>
  <c r="L99" i="8"/>
  <c r="L102" i="8"/>
  <c r="L105" i="8"/>
  <c r="L96" i="8"/>
  <c r="L87" i="8"/>
  <c r="L93" i="8"/>
  <c r="L84" i="8"/>
  <c r="L78" i="8"/>
  <c r="L75" i="8"/>
  <c r="L81" i="8"/>
  <c r="L72" i="8"/>
  <c r="L63" i="8"/>
  <c r="L66" i="8"/>
  <c r="L69" i="8"/>
  <c r="L60" i="8"/>
  <c r="L51" i="8"/>
  <c r="L54" i="8"/>
  <c r="L57" i="8"/>
  <c r="L48" i="8"/>
  <c r="L42" i="8"/>
  <c r="L39" i="8"/>
  <c r="L45" i="8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5" i="1"/>
  <c r="H56" i="1"/>
  <c r="H57" i="1"/>
  <c r="H58" i="1"/>
  <c r="L90" i="8"/>
  <c r="H68" i="11" l="1"/>
  <c r="I73" i="7"/>
  <c r="O69" i="2"/>
  <c r="AS11" i="4"/>
  <c r="AS10" i="4"/>
  <c r="AT75" i="4"/>
  <c r="AU75" i="4" s="1"/>
  <c r="AV75" i="4" s="1"/>
  <c r="K39" i="7"/>
  <c r="Q39" i="7" s="1"/>
  <c r="H39" i="7"/>
  <c r="K23" i="7"/>
  <c r="Q23" i="7" s="1"/>
  <c r="H23" i="7"/>
  <c r="K54" i="7"/>
  <c r="Q54" i="7" s="1"/>
  <c r="H54" i="7"/>
  <c r="I54" i="7" s="1"/>
  <c r="K46" i="7"/>
  <c r="Q46" i="7" s="1"/>
  <c r="H46" i="7"/>
  <c r="K38" i="7"/>
  <c r="Q38" i="7" s="1"/>
  <c r="H38" i="7"/>
  <c r="K30" i="7"/>
  <c r="Q30" i="7" s="1"/>
  <c r="H30" i="7"/>
  <c r="K22" i="7"/>
  <c r="Q22" i="7" s="1"/>
  <c r="H22" i="7"/>
  <c r="K14" i="7"/>
  <c r="Q14" i="7" s="1"/>
  <c r="H14" i="7"/>
  <c r="K53" i="7"/>
  <c r="Q53" i="7" s="1"/>
  <c r="H53" i="7"/>
  <c r="K45" i="7"/>
  <c r="Q45" i="7" s="1"/>
  <c r="H45" i="7"/>
  <c r="K37" i="7"/>
  <c r="Q37" i="7" s="1"/>
  <c r="H37" i="7"/>
  <c r="K29" i="7"/>
  <c r="Q29" i="7" s="1"/>
  <c r="H29" i="7"/>
  <c r="K21" i="7"/>
  <c r="Q21" i="7" s="1"/>
  <c r="H21" i="7"/>
  <c r="K15" i="7"/>
  <c r="Q15" i="7" s="1"/>
  <c r="H15" i="7"/>
  <c r="K71" i="7"/>
  <c r="H71" i="7"/>
  <c r="K31" i="7"/>
  <c r="Q31" i="7" s="1"/>
  <c r="H31" i="7"/>
  <c r="K52" i="7"/>
  <c r="Q52" i="7" s="1"/>
  <c r="H52" i="7"/>
  <c r="K20" i="7"/>
  <c r="Q20" i="7" s="1"/>
  <c r="H20" i="7"/>
  <c r="K43" i="7"/>
  <c r="Q43" i="7" s="1"/>
  <c r="H43" i="7"/>
  <c r="K19" i="7"/>
  <c r="Q19" i="7" s="1"/>
  <c r="H19" i="7"/>
  <c r="K58" i="7"/>
  <c r="Q58" i="7" s="1"/>
  <c r="H58" i="7"/>
  <c r="I58" i="7" s="1"/>
  <c r="K50" i="7"/>
  <c r="Q50" i="7" s="1"/>
  <c r="H50" i="7"/>
  <c r="K42" i="7"/>
  <c r="Q42" i="7" s="1"/>
  <c r="H42" i="7"/>
  <c r="K34" i="7"/>
  <c r="Q34" i="7" s="1"/>
  <c r="H34" i="7"/>
  <c r="K26" i="7"/>
  <c r="Q26" i="7" s="1"/>
  <c r="H26" i="7"/>
  <c r="K18" i="7"/>
  <c r="Q18" i="7" s="1"/>
  <c r="H18" i="7"/>
  <c r="K65" i="7"/>
  <c r="Q65" i="7" s="1"/>
  <c r="H65" i="7"/>
  <c r="K16" i="7"/>
  <c r="H16" i="7"/>
  <c r="K72" i="7"/>
  <c r="H72" i="7"/>
  <c r="K55" i="7"/>
  <c r="Q55" i="7" s="1"/>
  <c r="H55" i="7"/>
  <c r="K60" i="7"/>
  <c r="Q60" i="7" s="1"/>
  <c r="H60" i="7"/>
  <c r="K36" i="7"/>
  <c r="Q36" i="7" s="1"/>
  <c r="H36" i="7"/>
  <c r="K59" i="7"/>
  <c r="Q59" i="7" s="1"/>
  <c r="H59" i="7"/>
  <c r="K35" i="7"/>
  <c r="Q35" i="7" s="1"/>
  <c r="H35" i="7"/>
  <c r="K67" i="7"/>
  <c r="Q67" i="7" s="1"/>
  <c r="H67" i="7"/>
  <c r="I67" i="7" s="1"/>
  <c r="K57" i="7"/>
  <c r="H57" i="7"/>
  <c r="I57" i="7" s="1"/>
  <c r="K49" i="7"/>
  <c r="Q49" i="7" s="1"/>
  <c r="H49" i="7"/>
  <c r="I49" i="7" s="1"/>
  <c r="K41" i="7"/>
  <c r="Q41" i="7" s="1"/>
  <c r="H41" i="7"/>
  <c r="K33" i="7"/>
  <c r="Q33" i="7" s="1"/>
  <c r="H33" i="7"/>
  <c r="K25" i="7"/>
  <c r="Q25" i="7" s="1"/>
  <c r="H25" i="7"/>
  <c r="K17" i="7"/>
  <c r="Q17" i="7" s="1"/>
  <c r="H17" i="7"/>
  <c r="K63" i="7"/>
  <c r="Q63" i="7" s="1"/>
  <c r="H63" i="7"/>
  <c r="I63" i="7" s="1"/>
  <c r="K64" i="7"/>
  <c r="Q64" i="7" s="1"/>
  <c r="H64" i="7"/>
  <c r="I64" i="7" s="1"/>
  <c r="K61" i="7"/>
  <c r="Q61" i="7" s="1"/>
  <c r="H61" i="7"/>
  <c r="K69" i="7"/>
  <c r="H69" i="7"/>
  <c r="K47" i="7"/>
  <c r="Q47" i="7" s="1"/>
  <c r="H47" i="7"/>
  <c r="K44" i="7"/>
  <c r="Q44" i="7" s="1"/>
  <c r="H44" i="7"/>
  <c r="K28" i="7"/>
  <c r="Q28" i="7" s="1"/>
  <c r="H28" i="7"/>
  <c r="K66" i="7"/>
  <c r="H66" i="7"/>
  <c r="K51" i="7"/>
  <c r="Q51" i="7" s="1"/>
  <c r="H51" i="7"/>
  <c r="K27" i="7"/>
  <c r="Q27" i="7" s="1"/>
  <c r="H27" i="7"/>
  <c r="K62" i="7"/>
  <c r="Q62" i="7" s="1"/>
  <c r="H62" i="7"/>
  <c r="K70" i="7"/>
  <c r="H70" i="7"/>
  <c r="K68" i="7"/>
  <c r="H68" i="7"/>
  <c r="K56" i="7"/>
  <c r="Q56" i="7" s="1"/>
  <c r="H56" i="7"/>
  <c r="K48" i="7"/>
  <c r="Q48" i="7" s="1"/>
  <c r="H48" i="7"/>
  <c r="K40" i="7"/>
  <c r="Q40" i="7" s="1"/>
  <c r="H40" i="7"/>
  <c r="K32" i="7"/>
  <c r="Q32" i="7" s="1"/>
  <c r="H32" i="7"/>
  <c r="K24" i="7"/>
  <c r="Q24" i="7" s="1"/>
  <c r="H24" i="7"/>
  <c r="AS12" i="4"/>
  <c r="E70" i="4"/>
  <c r="F70" i="4" s="1"/>
  <c r="AN13" i="4"/>
  <c r="P13" i="4"/>
  <c r="BG13" i="4"/>
  <c r="BJ13" i="4"/>
  <c r="L12" i="10"/>
  <c r="Q12" i="10" s="1"/>
  <c r="J14" i="4"/>
  <c r="AH13" i="4"/>
  <c r="BL13" i="4"/>
  <c r="V13" i="4"/>
  <c r="AK70" i="2"/>
  <c r="G69" i="8"/>
  <c r="O69" i="7" s="1"/>
  <c r="J56" i="4"/>
  <c r="AN14" i="4"/>
  <c r="P53" i="4"/>
  <c r="AN59" i="4"/>
  <c r="BB74" i="2"/>
  <c r="BC75" i="2" s="1"/>
  <c r="BD75" i="2" s="1"/>
  <c r="BE75" i="2" s="1"/>
  <c r="P45" i="4"/>
  <c r="P37" i="4"/>
  <c r="P21" i="4"/>
  <c r="V52" i="4"/>
  <c r="V44" i="4"/>
  <c r="V36" i="4"/>
  <c r="V28" i="4"/>
  <c r="AB51" i="4"/>
  <c r="AB47" i="4"/>
  <c r="AB43" i="4"/>
  <c r="AB35" i="4"/>
  <c r="AB27" i="4"/>
  <c r="AB17" i="4"/>
  <c r="P51" i="4"/>
  <c r="V50" i="4"/>
  <c r="V38" i="4"/>
  <c r="AB21" i="4"/>
  <c r="BH75" i="4"/>
  <c r="J73" i="10" s="1"/>
  <c r="AH39" i="4"/>
  <c r="P44" i="4"/>
  <c r="P36" i="4"/>
  <c r="P28" i="4"/>
  <c r="V43" i="4"/>
  <c r="V35" i="4"/>
  <c r="V27" i="4"/>
  <c r="V17" i="4"/>
  <c r="AB50" i="4"/>
  <c r="AB42" i="4"/>
  <c r="AB34" i="4"/>
  <c r="AB26" i="4"/>
  <c r="AN43" i="4"/>
  <c r="AN16" i="4"/>
  <c r="AN36" i="4"/>
  <c r="P55" i="4"/>
  <c r="AN46" i="4"/>
  <c r="AF72" i="2"/>
  <c r="AG72" i="2" s="1"/>
  <c r="BK72" i="2" s="1"/>
  <c r="O39" i="2"/>
  <c r="O35" i="2"/>
  <c r="O31" i="2"/>
  <c r="O23" i="2"/>
  <c r="O44" i="10"/>
  <c r="T72" i="2"/>
  <c r="U72" i="2" s="1"/>
  <c r="BI72" i="2" s="1"/>
  <c r="Z72" i="2"/>
  <c r="AA72" i="2" s="1"/>
  <c r="BJ72" i="2" s="1"/>
  <c r="J62" i="4"/>
  <c r="AH18" i="4"/>
  <c r="Q32" i="10"/>
  <c r="AS73" i="4"/>
  <c r="AH40" i="4"/>
  <c r="AH32" i="4"/>
  <c r="AN63" i="4"/>
  <c r="E26" i="4"/>
  <c r="AN35" i="4"/>
  <c r="G72" i="8"/>
  <c r="O72" i="7" s="1"/>
  <c r="G74" i="8"/>
  <c r="O74" i="7" s="1"/>
  <c r="Q74" i="7" s="1"/>
  <c r="AH51" i="4"/>
  <c r="AH42" i="4"/>
  <c r="AH30" i="4"/>
  <c r="AN60" i="4"/>
  <c r="E46" i="4"/>
  <c r="BB73" i="2"/>
  <c r="V33" i="4"/>
  <c r="P60" i="4"/>
  <c r="S65" i="2"/>
  <c r="P52" i="4"/>
  <c r="AB18" i="4"/>
  <c r="J18" i="4"/>
  <c r="J33" i="4"/>
  <c r="L16" i="10"/>
  <c r="Q16" i="10" s="1"/>
  <c r="AB64" i="4"/>
  <c r="BL36" i="4"/>
  <c r="BL28" i="4"/>
  <c r="AH16" i="4"/>
  <c r="AN61" i="4"/>
  <c r="V68" i="4"/>
  <c r="C55" i="4"/>
  <c r="D55" i="4" s="1"/>
  <c r="C20" i="4"/>
  <c r="D20" i="4" s="1"/>
  <c r="S40" i="2"/>
  <c r="AQ34" i="2"/>
  <c r="O25" i="10"/>
  <c r="E27" i="4"/>
  <c r="E25" i="4"/>
  <c r="Q33" i="10"/>
  <c r="E59" i="4"/>
  <c r="Q73" i="4"/>
  <c r="R73" i="4" s="1"/>
  <c r="BA73" i="4" s="1"/>
  <c r="AE41" i="2"/>
  <c r="AK39" i="2"/>
  <c r="AQ54" i="2"/>
  <c r="AQ36" i="2"/>
  <c r="AQ30" i="2"/>
  <c r="AX72" i="2"/>
  <c r="AY72" i="2" s="1"/>
  <c r="BN72" i="2" s="1"/>
  <c r="AH23" i="4"/>
  <c r="V51" i="4"/>
  <c r="S23" i="2"/>
  <c r="AE29" i="2"/>
  <c r="AQ52" i="2"/>
  <c r="AW34" i="2"/>
  <c r="P58" i="4"/>
  <c r="P48" i="4"/>
  <c r="P40" i="4"/>
  <c r="P24" i="4"/>
  <c r="V57" i="4"/>
  <c r="V23" i="4"/>
  <c r="AB56" i="4"/>
  <c r="AB46" i="4"/>
  <c r="AB38" i="4"/>
  <c r="AB30" i="4"/>
  <c r="AB22" i="4"/>
  <c r="P61" i="4"/>
  <c r="AB61" i="4"/>
  <c r="J17" i="4"/>
  <c r="Q65" i="10"/>
  <c r="AN53" i="4"/>
  <c r="BL50" i="4"/>
  <c r="BL44" i="4"/>
  <c r="AB16" i="4"/>
  <c r="O55" i="2"/>
  <c r="AH19" i="4"/>
  <c r="P20" i="4"/>
  <c r="J19" i="4"/>
  <c r="AH14" i="4"/>
  <c r="BJ69" i="4"/>
  <c r="G71" i="8"/>
  <c r="O71" i="7" s="1"/>
  <c r="G73" i="8"/>
  <c r="O73" i="7" s="1"/>
  <c r="AE25" i="2"/>
  <c r="AK52" i="2"/>
  <c r="AQ24" i="2"/>
  <c r="AW43" i="2"/>
  <c r="E34" i="4"/>
  <c r="S34" i="2"/>
  <c r="O28" i="10"/>
  <c r="E51" i="4"/>
  <c r="F51" i="4" s="1"/>
  <c r="Q34" i="10"/>
  <c r="O49" i="10"/>
  <c r="O50" i="2"/>
  <c r="O32" i="10"/>
  <c r="O34" i="2"/>
  <c r="O30" i="2"/>
  <c r="AQ58" i="2"/>
  <c r="AW54" i="2"/>
  <c r="O40" i="10"/>
  <c r="E42" i="4"/>
  <c r="F43" i="4" s="1"/>
  <c r="BC66" i="2"/>
  <c r="K73" i="4"/>
  <c r="L73" i="4" s="1"/>
  <c r="AZ73" i="4" s="1"/>
  <c r="S47" i="2"/>
  <c r="AE32" i="2"/>
  <c r="W73" i="4"/>
  <c r="X73" i="4" s="1"/>
  <c r="BB73" i="4" s="1"/>
  <c r="S49" i="2"/>
  <c r="S30" i="2"/>
  <c r="S22" i="2"/>
  <c r="AW19" i="2"/>
  <c r="V56" i="4"/>
  <c r="V22" i="4"/>
  <c r="AB20" i="4"/>
  <c r="E40" i="4"/>
  <c r="F40" i="4" s="1"/>
  <c r="S46" i="2"/>
  <c r="BG29" i="4"/>
  <c r="BJ17" i="4"/>
  <c r="O14" i="10"/>
  <c r="Q23" i="10"/>
  <c r="V19" i="4"/>
  <c r="BB61" i="2"/>
  <c r="BC62" i="2" s="1"/>
  <c r="BB71" i="2"/>
  <c r="AL72" i="2"/>
  <c r="AM72" i="2" s="1"/>
  <c r="BL72" i="2" s="1"/>
  <c r="V48" i="4"/>
  <c r="V40" i="4"/>
  <c r="V32" i="4"/>
  <c r="AK28" i="2"/>
  <c r="AQ43" i="2"/>
  <c r="AN38" i="4"/>
  <c r="AH17" i="4"/>
  <c r="V30" i="4"/>
  <c r="AB37" i="4"/>
  <c r="AB67" i="4"/>
  <c r="J43" i="4"/>
  <c r="AN66" i="4"/>
  <c r="AE45" i="2"/>
  <c r="AE19" i="2"/>
  <c r="AW36" i="2"/>
  <c r="E36" i="4"/>
  <c r="E16" i="4"/>
  <c r="AH50" i="4"/>
  <c r="AH25" i="4"/>
  <c r="AH21" i="4"/>
  <c r="AQ71" i="2"/>
  <c r="AQ72" i="2"/>
  <c r="AR72" i="2" s="1"/>
  <c r="P73" i="7"/>
  <c r="AQ51" i="2"/>
  <c r="AN42" i="4"/>
  <c r="AN22" i="4"/>
  <c r="Q37" i="10"/>
  <c r="AE44" i="2"/>
  <c r="BJ50" i="4"/>
  <c r="P43" i="4"/>
  <c r="P35" i="4"/>
  <c r="P17" i="4"/>
  <c r="V34" i="4"/>
  <c r="AB49" i="4"/>
  <c r="AB41" i="4"/>
  <c r="AB33" i="4"/>
  <c r="AB25" i="4"/>
  <c r="C41" i="4"/>
  <c r="D41" i="4" s="1"/>
  <c r="AB63" i="4"/>
  <c r="BL43" i="4"/>
  <c r="AH35" i="4"/>
  <c r="AO73" i="4"/>
  <c r="AP73" i="4" s="1"/>
  <c r="BE73" i="4" s="1"/>
  <c r="AI73" i="4"/>
  <c r="AC73" i="4"/>
  <c r="AD73" i="4" s="1"/>
  <c r="BC73" i="4" s="1"/>
  <c r="B44" i="7"/>
  <c r="H39" i="11" s="1"/>
  <c r="AW32" i="2"/>
  <c r="BJ26" i="4"/>
  <c r="BB72" i="2"/>
  <c r="BJ43" i="4"/>
  <c r="AN41" i="4"/>
  <c r="P29" i="4"/>
  <c r="J50" i="4"/>
  <c r="AN21" i="4"/>
  <c r="BL52" i="4"/>
  <c r="P56" i="4"/>
  <c r="P46" i="4"/>
  <c r="P38" i="4"/>
  <c r="P30" i="4"/>
  <c r="V45" i="4"/>
  <c r="J49" i="4"/>
  <c r="BL16" i="4"/>
  <c r="AS63" i="4"/>
  <c r="Y28" i="2"/>
  <c r="AW24" i="2"/>
  <c r="J41" i="4"/>
  <c r="BG71" i="4"/>
  <c r="V72" i="4"/>
  <c r="BG41" i="4"/>
  <c r="BG25" i="4"/>
  <c r="AN28" i="4"/>
  <c r="AB19" i="4"/>
  <c r="V71" i="4"/>
  <c r="Y51" i="2"/>
  <c r="Y43" i="2"/>
  <c r="AQ53" i="2"/>
  <c r="J66" i="4"/>
  <c r="V65" i="4"/>
  <c r="AE39" i="2"/>
  <c r="AW29" i="2"/>
  <c r="AW20" i="2"/>
  <c r="AN39" i="4"/>
  <c r="AK35" i="2"/>
  <c r="BJ27" i="4"/>
  <c r="V63" i="4"/>
  <c r="AS35" i="4"/>
  <c r="L63" i="10"/>
  <c r="Q63" i="10" s="1"/>
  <c r="BG65" i="4"/>
  <c r="AH20" i="4"/>
  <c r="P42" i="4"/>
  <c r="P27" i="4"/>
  <c r="V26" i="4"/>
  <c r="BG26" i="4"/>
  <c r="AK56" i="2"/>
  <c r="AK46" i="2"/>
  <c r="AK38" i="2"/>
  <c r="AK20" i="2"/>
  <c r="AQ35" i="2"/>
  <c r="J28" i="4"/>
  <c r="L25" i="10"/>
  <c r="Q25" i="10" s="1"/>
  <c r="L64" i="10"/>
  <c r="BL24" i="4"/>
  <c r="BG64" i="4"/>
  <c r="C69" i="4"/>
  <c r="D69" i="4" s="1"/>
  <c r="S45" i="2"/>
  <c r="BJ33" i="4"/>
  <c r="V49" i="4"/>
  <c r="AB58" i="4"/>
  <c r="AB48" i="4"/>
  <c r="AB32" i="4"/>
  <c r="O54" i="10"/>
  <c r="AN57" i="4"/>
  <c r="BL19" i="4"/>
  <c r="AB69" i="4"/>
  <c r="AE64" i="2"/>
  <c r="C68" i="4"/>
  <c r="D68" i="4" s="1"/>
  <c r="BJ67" i="4"/>
  <c r="BG67" i="4"/>
  <c r="P70" i="7"/>
  <c r="BJ32" i="4"/>
  <c r="C39" i="4"/>
  <c r="D39" i="4" s="1"/>
  <c r="BC65" i="2"/>
  <c r="AH57" i="4"/>
  <c r="L66" i="10"/>
  <c r="BG68" i="4"/>
  <c r="BG66" i="4"/>
  <c r="AB24" i="4"/>
  <c r="V41" i="4"/>
  <c r="BJ41" i="4"/>
  <c r="AE37" i="2"/>
  <c r="AQ48" i="2"/>
  <c r="AQ40" i="2"/>
  <c r="AW65" i="2"/>
  <c r="C65" i="4"/>
  <c r="D65" i="4" s="1"/>
  <c r="C67" i="4"/>
  <c r="D67" i="4" s="1"/>
  <c r="C71" i="4"/>
  <c r="D71" i="4" s="1"/>
  <c r="AB70" i="4"/>
  <c r="AB71" i="4"/>
  <c r="G66" i="8"/>
  <c r="O66" i="7" s="1"/>
  <c r="AB40" i="4"/>
  <c r="V42" i="4"/>
  <c r="BJ37" i="4"/>
  <c r="AB52" i="4"/>
  <c r="AB28" i="4"/>
  <c r="E56" i="4"/>
  <c r="V14" i="4"/>
  <c r="AS65" i="4"/>
  <c r="AE34" i="2"/>
  <c r="AN18" i="4"/>
  <c r="BJ18" i="4"/>
  <c r="C64" i="4"/>
  <c r="D64" i="4" s="1"/>
  <c r="J70" i="4"/>
  <c r="BG69" i="4"/>
  <c r="L70" i="10"/>
  <c r="BJ72" i="4"/>
  <c r="BG72" i="4"/>
  <c r="J63" i="4"/>
  <c r="BG63" i="4"/>
  <c r="BL14" i="4"/>
  <c r="AH69" i="4"/>
  <c r="AH15" i="4"/>
  <c r="L68" i="10"/>
  <c r="BG70" i="4"/>
  <c r="AS30" i="4"/>
  <c r="AE51" i="2"/>
  <c r="AE43" i="2"/>
  <c r="AE35" i="2"/>
  <c r="AE27" i="2"/>
  <c r="AQ21" i="2"/>
  <c r="J16" i="4"/>
  <c r="AN62" i="4"/>
  <c r="AN31" i="4"/>
  <c r="BL20" i="4"/>
  <c r="BC67" i="2"/>
  <c r="BG56" i="4"/>
  <c r="AH41" i="4"/>
  <c r="BJ22" i="4"/>
  <c r="BJ44" i="4"/>
  <c r="O51" i="10"/>
  <c r="J23" i="4"/>
  <c r="Y54" i="2"/>
  <c r="BJ64" i="4"/>
  <c r="S58" i="2"/>
  <c r="AK19" i="2"/>
  <c r="AS71" i="4"/>
  <c r="P18" i="4"/>
  <c r="P32" i="4"/>
  <c r="S29" i="2"/>
  <c r="AK47" i="2"/>
  <c r="AK22" i="2"/>
  <c r="AQ44" i="2"/>
  <c r="AQ26" i="2"/>
  <c r="AQ19" i="2"/>
  <c r="AW25" i="2"/>
  <c r="O55" i="10"/>
  <c r="AB62" i="4"/>
  <c r="J39" i="4"/>
  <c r="J58" i="4"/>
  <c r="E41" i="4"/>
  <c r="BL18" i="4"/>
  <c r="AH37" i="4"/>
  <c r="P59" i="4"/>
  <c r="P54" i="4"/>
  <c r="BJ51" i="4"/>
  <c r="BL58" i="4"/>
  <c r="BL54" i="4"/>
  <c r="BL46" i="4"/>
  <c r="BL34" i="4"/>
  <c r="AH64" i="4"/>
  <c r="V39" i="4"/>
  <c r="V31" i="4"/>
  <c r="V47" i="4"/>
  <c r="AS59" i="4"/>
  <c r="O52" i="2"/>
  <c r="J44" i="4"/>
  <c r="E57" i="4"/>
  <c r="V64" i="4"/>
  <c r="E53" i="4"/>
  <c r="BL57" i="4"/>
  <c r="AN49" i="4"/>
  <c r="BL41" i="4"/>
  <c r="AN34" i="4"/>
  <c r="AN25" i="4"/>
  <c r="AB59" i="4"/>
  <c r="BG47" i="4"/>
  <c r="Y29" i="2"/>
  <c r="AW30" i="2"/>
  <c r="AW22" i="2"/>
  <c r="O56" i="2"/>
  <c r="AH53" i="4"/>
  <c r="BL40" i="4"/>
  <c r="AH29" i="4"/>
  <c r="BJ58" i="4"/>
  <c r="AB57" i="4"/>
  <c r="AS22" i="4"/>
  <c r="S55" i="2"/>
  <c r="Y21" i="2"/>
  <c r="AW40" i="2"/>
  <c r="P41" i="4"/>
  <c r="V24" i="4"/>
  <c r="AB39" i="4"/>
  <c r="AB23" i="4"/>
  <c r="J24" i="4"/>
  <c r="BJ45" i="4"/>
  <c r="BL32" i="4"/>
  <c r="V60" i="4"/>
  <c r="Q20" i="10"/>
  <c r="S37" i="2"/>
  <c r="AW39" i="2"/>
  <c r="P57" i="4"/>
  <c r="BG45" i="4"/>
  <c r="S21" i="2"/>
  <c r="AH46" i="4"/>
  <c r="BJ34" i="4"/>
  <c r="P47" i="4"/>
  <c r="Y47" i="2"/>
  <c r="Y31" i="2"/>
  <c r="Y24" i="2"/>
  <c r="AW38" i="2"/>
  <c r="AW21" i="2"/>
  <c r="O39" i="10"/>
  <c r="P64" i="4"/>
  <c r="BG53" i="4"/>
  <c r="P63" i="4"/>
  <c r="J15" i="4"/>
  <c r="AE58" i="2"/>
  <c r="E19" i="4"/>
  <c r="P70" i="4"/>
  <c r="AB14" i="4"/>
  <c r="B68" i="7"/>
  <c r="H63" i="11" s="1"/>
  <c r="O47" i="10"/>
  <c r="E37" i="4"/>
  <c r="J20" i="4"/>
  <c r="L17" i="10"/>
  <c r="Q17" i="10" s="1"/>
  <c r="S38" i="2"/>
  <c r="AW52" i="2"/>
  <c r="AH63" i="4"/>
  <c r="V18" i="4"/>
  <c r="O26" i="2"/>
  <c r="V46" i="4"/>
  <c r="O21" i="2"/>
  <c r="O41" i="2"/>
  <c r="AE26" i="2"/>
  <c r="AH43" i="4"/>
  <c r="AS54" i="4"/>
  <c r="AS38" i="4"/>
  <c r="AS13" i="4"/>
  <c r="AT13" i="4" s="1"/>
  <c r="S36" i="2"/>
  <c r="Y38" i="2"/>
  <c r="Y22" i="2"/>
  <c r="AE31" i="2"/>
  <c r="AW37" i="2"/>
  <c r="O17" i="10"/>
  <c r="O35" i="10"/>
  <c r="BJ62" i="4"/>
  <c r="BJ63" i="4"/>
  <c r="BJ71" i="4"/>
  <c r="BL37" i="4"/>
  <c r="BL30" i="4"/>
  <c r="BG27" i="4"/>
  <c r="BL15" i="4"/>
  <c r="BG54" i="4"/>
  <c r="BG36" i="4"/>
  <c r="V29" i="4"/>
  <c r="P22" i="4"/>
  <c r="O37" i="2"/>
  <c r="BG42" i="4"/>
  <c r="AB44" i="4"/>
  <c r="BJ55" i="4"/>
  <c r="O40" i="2"/>
  <c r="AB53" i="4"/>
  <c r="H37" i="2"/>
  <c r="BB37" i="2" s="1"/>
  <c r="H29" i="2"/>
  <c r="BB29" i="2" s="1"/>
  <c r="AE56" i="2"/>
  <c r="AE38" i="2"/>
  <c r="AE22" i="2"/>
  <c r="AW42" i="2"/>
  <c r="F57" i="7"/>
  <c r="AN58" i="4"/>
  <c r="AN48" i="4"/>
  <c r="BG44" i="4"/>
  <c r="AN40" i="4"/>
  <c r="BL29" i="4"/>
  <c r="AN27" i="4"/>
  <c r="AH24" i="4"/>
  <c r="BL68" i="4"/>
  <c r="E67" i="4"/>
  <c r="AQ65" i="2"/>
  <c r="AE71" i="2"/>
  <c r="O71" i="2"/>
  <c r="AB36" i="4"/>
  <c r="H30" i="2"/>
  <c r="BB30" i="2" s="1"/>
  <c r="BG46" i="4"/>
  <c r="BJ56" i="4"/>
  <c r="BJ36" i="4"/>
  <c r="AS44" i="4"/>
  <c r="AS36" i="4"/>
  <c r="AS28" i="4"/>
  <c r="AS20" i="4"/>
  <c r="BG32" i="4"/>
  <c r="C42" i="4"/>
  <c r="D42" i="4" s="1"/>
  <c r="E49" i="4"/>
  <c r="F50" i="4" s="1"/>
  <c r="BJ48" i="4"/>
  <c r="L39" i="10"/>
  <c r="AW62" i="2"/>
  <c r="AN37" i="4"/>
  <c r="AN29" i="4"/>
  <c r="BG17" i="4"/>
  <c r="AW63" i="2"/>
  <c r="AS60" i="4"/>
  <c r="E14" i="4"/>
  <c r="AS66" i="4"/>
  <c r="BG34" i="4"/>
  <c r="AN56" i="4"/>
  <c r="AE36" i="2"/>
  <c r="AW49" i="2"/>
  <c r="BJ35" i="4"/>
  <c r="BJ29" i="4"/>
  <c r="AH54" i="4"/>
  <c r="AN50" i="4"/>
  <c r="BG43" i="4"/>
  <c r="AH36" i="4"/>
  <c r="AN32" i="4"/>
  <c r="AH22" i="4"/>
  <c r="AH68" i="4"/>
  <c r="Y63" i="2"/>
  <c r="BJ59" i="4"/>
  <c r="O22" i="2"/>
  <c r="B20" i="7"/>
  <c r="Q42" i="10"/>
  <c r="AE69" i="2"/>
  <c r="H33" i="2"/>
  <c r="BB33" i="2" s="1"/>
  <c r="O36" i="2"/>
  <c r="S48" i="2"/>
  <c r="H40" i="2"/>
  <c r="BB40" i="2" s="1"/>
  <c r="AK51" i="2"/>
  <c r="AK43" i="2"/>
  <c r="AK25" i="2"/>
  <c r="O24" i="10"/>
  <c r="J34" i="4"/>
  <c r="L49" i="10"/>
  <c r="Q49" i="10" s="1"/>
  <c r="BL63" i="4"/>
  <c r="AH67" i="4"/>
  <c r="AS64" i="4"/>
  <c r="AS68" i="4"/>
  <c r="L67" i="10"/>
  <c r="AW56" i="2"/>
  <c r="AW57" i="2"/>
  <c r="Q13" i="10"/>
  <c r="AS52" i="4"/>
  <c r="AS51" i="4"/>
  <c r="AD47" i="2"/>
  <c r="AE47" i="2" s="1"/>
  <c r="H47" i="2"/>
  <c r="BB47" i="2" s="1"/>
  <c r="J32" i="4"/>
  <c r="J31" i="4"/>
  <c r="BJ31" i="4"/>
  <c r="BL55" i="4"/>
  <c r="AH55" i="4"/>
  <c r="AH56" i="4"/>
  <c r="BL23" i="4"/>
  <c r="AN23" i="4"/>
  <c r="V16" i="4"/>
  <c r="V15" i="4"/>
  <c r="AH38" i="4"/>
  <c r="J53" i="4"/>
  <c r="L22" i="10"/>
  <c r="Q22" i="10" s="1"/>
  <c r="BJ24" i="4"/>
  <c r="BG24" i="4"/>
  <c r="BL33" i="4"/>
  <c r="AH33" i="4"/>
  <c r="H58" i="2"/>
  <c r="BB58" i="2" s="1"/>
  <c r="BG59" i="4"/>
  <c r="L44" i="10"/>
  <c r="Q44" i="10" s="1"/>
  <c r="BJ46" i="4"/>
  <c r="V54" i="4"/>
  <c r="AH59" i="4"/>
  <c r="AH28" i="4"/>
  <c r="V55" i="4"/>
  <c r="J61" i="4"/>
  <c r="O45" i="2"/>
  <c r="B46" i="7"/>
  <c r="H41" i="11" s="1"/>
  <c r="O31" i="10"/>
  <c r="Q31" i="10"/>
  <c r="O32" i="2"/>
  <c r="B18" i="7"/>
  <c r="E17" i="4"/>
  <c r="Q15" i="10"/>
  <c r="AW23" i="2"/>
  <c r="AQ27" i="2"/>
  <c r="AN33" i="4"/>
  <c r="BG31" i="4"/>
  <c r="AB31" i="4"/>
  <c r="AS14" i="4"/>
  <c r="AS27" i="4"/>
  <c r="V53" i="4"/>
  <c r="BJ54" i="4"/>
  <c r="AS37" i="4"/>
  <c r="AS29" i="4"/>
  <c r="AS21" i="4"/>
  <c r="Y30" i="2"/>
  <c r="Y23" i="2"/>
  <c r="AK48" i="2"/>
  <c r="AK40" i="2"/>
  <c r="AP55" i="2"/>
  <c r="AQ55" i="2" s="1"/>
  <c r="H55" i="2"/>
  <c r="BB55" i="2" s="1"/>
  <c r="AW55" i="2"/>
  <c r="AW48" i="2"/>
  <c r="AW47" i="2"/>
  <c r="BJ42" i="4"/>
  <c r="L40" i="10"/>
  <c r="Q40" i="10" s="1"/>
  <c r="L29" i="10"/>
  <c r="Q29" i="10" s="1"/>
  <c r="C13" i="4"/>
  <c r="D13" i="4" s="1"/>
  <c r="S32" i="2"/>
  <c r="BJ53" i="4"/>
  <c r="L51" i="10"/>
  <c r="B51" i="7"/>
  <c r="H46" i="11" s="1"/>
  <c r="Q48" i="10"/>
  <c r="O49" i="2"/>
  <c r="O48" i="10"/>
  <c r="B48" i="7"/>
  <c r="H43" i="11" s="1"/>
  <c r="E47" i="4"/>
  <c r="O46" i="2"/>
  <c r="O42" i="2"/>
  <c r="Q41" i="10"/>
  <c r="O41" i="10"/>
  <c r="C40" i="4"/>
  <c r="D40" i="4" s="1"/>
  <c r="J60" i="4"/>
  <c r="J59" i="4"/>
  <c r="L57" i="10"/>
  <c r="AS43" i="4"/>
  <c r="L45" i="10"/>
  <c r="BJ47" i="4"/>
  <c r="L28" i="10"/>
  <c r="Q28" i="10" s="1"/>
  <c r="BG30" i="4"/>
  <c r="AN44" i="4"/>
  <c r="AN45" i="4"/>
  <c r="AH34" i="4"/>
  <c r="L38" i="10"/>
  <c r="Q38" i="10" s="1"/>
  <c r="BJ40" i="4"/>
  <c r="BG40" i="4"/>
  <c r="AN54" i="4"/>
  <c r="AN55" i="4"/>
  <c r="BL26" i="4"/>
  <c r="AH26" i="4"/>
  <c r="AQ37" i="2"/>
  <c r="Y58" i="2"/>
  <c r="Y57" i="2"/>
  <c r="P26" i="4"/>
  <c r="P25" i="4"/>
  <c r="BG58" i="4"/>
  <c r="B66" i="7"/>
  <c r="H61" i="11" s="1"/>
  <c r="O63" i="10"/>
  <c r="AN30" i="4"/>
  <c r="V25" i="4"/>
  <c r="AQ45" i="2"/>
  <c r="AH58" i="4"/>
  <c r="S35" i="2"/>
  <c r="AN17" i="4"/>
  <c r="AE40" i="2"/>
  <c r="BJ30" i="4"/>
  <c r="BG51" i="4"/>
  <c r="AN47" i="4"/>
  <c r="Q58" i="10"/>
  <c r="BJ60" i="4"/>
  <c r="J47" i="4"/>
  <c r="J40" i="4"/>
  <c r="BJ65" i="4"/>
  <c r="BJ70" i="4"/>
  <c r="AE62" i="2"/>
  <c r="AN67" i="4"/>
  <c r="BL67" i="4"/>
  <c r="AE63" i="2"/>
  <c r="B41" i="7"/>
  <c r="H36" i="11" s="1"/>
  <c r="O38" i="10"/>
  <c r="B37" i="7"/>
  <c r="O34" i="10"/>
  <c r="B26" i="7"/>
  <c r="O25" i="2"/>
  <c r="B22" i="7"/>
  <c r="E21" i="4"/>
  <c r="AK30" i="2"/>
  <c r="AK29" i="2"/>
  <c r="C34" i="4"/>
  <c r="D34" i="4" s="1"/>
  <c r="L52" i="10"/>
  <c r="Q52" i="10" s="1"/>
  <c r="J54" i="4"/>
  <c r="J52" i="4"/>
  <c r="BJ52" i="4"/>
  <c r="BG52" i="4"/>
  <c r="BL51" i="4"/>
  <c r="AN52" i="4"/>
  <c r="O67" i="2"/>
  <c r="O68" i="2" s="1"/>
  <c r="E68" i="4"/>
  <c r="AH31" i="4"/>
  <c r="AH27" i="4"/>
  <c r="P67" i="4"/>
  <c r="BJ66" i="4"/>
  <c r="J35" i="4"/>
  <c r="BG35" i="4"/>
  <c r="L55" i="10"/>
  <c r="BJ57" i="4"/>
  <c r="BG57" i="4"/>
  <c r="P15" i="4"/>
  <c r="P16" i="4"/>
  <c r="E62" i="4"/>
  <c r="Q60" i="10"/>
  <c r="O60" i="10"/>
  <c r="Y52" i="2"/>
  <c r="BL47" i="4"/>
  <c r="Q16" i="7"/>
  <c r="AQ67" i="2"/>
  <c r="AN26" i="4"/>
  <c r="P50" i="4"/>
  <c r="BG49" i="4"/>
  <c r="P49" i="4"/>
  <c r="BJ49" i="4"/>
  <c r="V58" i="4"/>
  <c r="V59" i="4"/>
  <c r="J64" i="4"/>
  <c r="L61" i="10"/>
  <c r="BL22" i="4"/>
  <c r="AH65" i="4"/>
  <c r="BL65" i="4"/>
  <c r="Y37" i="2"/>
  <c r="H21" i="2"/>
  <c r="BB21" i="2" s="1"/>
  <c r="BG55" i="4"/>
  <c r="AN24" i="4"/>
  <c r="BG39" i="4"/>
  <c r="BG50" i="4"/>
  <c r="AN51" i="4"/>
  <c r="AS53" i="4"/>
  <c r="AK34" i="2"/>
  <c r="AW41" i="2"/>
  <c r="AW26" i="2"/>
  <c r="BJ39" i="4"/>
  <c r="P39" i="4"/>
  <c r="P31" i="4"/>
  <c r="P23" i="4"/>
  <c r="BJ23" i="4"/>
  <c r="BG23" i="4"/>
  <c r="AB55" i="4"/>
  <c r="AB45" i="4"/>
  <c r="AB29" i="4"/>
  <c r="BG60" i="4"/>
  <c r="J51" i="4"/>
  <c r="J36" i="4"/>
  <c r="L54" i="10"/>
  <c r="C35" i="4"/>
  <c r="D35" i="4" s="1"/>
  <c r="Q47" i="10"/>
  <c r="AN68" i="4"/>
  <c r="BJ68" i="4"/>
  <c r="AB65" i="4"/>
  <c r="E48" i="4"/>
  <c r="O47" i="2"/>
  <c r="O48" i="2"/>
  <c r="O46" i="10"/>
  <c r="B33" i="7"/>
  <c r="E32" i="4"/>
  <c r="O30" i="10"/>
  <c r="Q30" i="10"/>
  <c r="B29" i="7"/>
  <c r="O26" i="10"/>
  <c r="Q26" i="10"/>
  <c r="O27" i="2"/>
  <c r="AN19" i="4"/>
  <c r="AN20" i="4"/>
  <c r="BG19" i="4"/>
  <c r="V20" i="4"/>
  <c r="BJ19" i="4"/>
  <c r="B61" i="7"/>
  <c r="H56" i="11" s="1"/>
  <c r="E60" i="4"/>
  <c r="AH44" i="4"/>
  <c r="AH45" i="4"/>
  <c r="J72" i="4"/>
  <c r="G70" i="8"/>
  <c r="O70" i="7" s="1"/>
  <c r="X45" i="2"/>
  <c r="Y45" i="2" s="1"/>
  <c r="H45" i="2"/>
  <c r="BB45" i="2" s="1"/>
  <c r="L46" i="10"/>
  <c r="BG48" i="4"/>
  <c r="J48" i="4"/>
  <c r="J25" i="4"/>
  <c r="BJ25" i="4"/>
  <c r="BL48" i="4"/>
  <c r="AH49" i="4"/>
  <c r="AH48" i="4"/>
  <c r="AH60" i="4"/>
  <c r="BL59" i="4"/>
  <c r="BJ15" i="4"/>
  <c r="R43" i="2"/>
  <c r="S44" i="2" s="1"/>
  <c r="H43" i="2"/>
  <c r="BB43" i="2" s="1"/>
  <c r="BL60" i="4"/>
  <c r="AH61" i="4"/>
  <c r="Q68" i="7"/>
  <c r="J57" i="4"/>
  <c r="AH47" i="4"/>
  <c r="H35" i="2"/>
  <c r="BB35" i="2" s="1"/>
  <c r="AH52" i="4"/>
  <c r="P34" i="4"/>
  <c r="BG33" i="4"/>
  <c r="J42" i="4"/>
  <c r="BG15" i="4"/>
  <c r="P71" i="4"/>
  <c r="P33" i="4"/>
  <c r="AS19" i="4"/>
  <c r="AS45" i="4"/>
  <c r="AS46" i="4"/>
  <c r="H39" i="2"/>
  <c r="BB39" i="2" s="1"/>
  <c r="X39" i="2"/>
  <c r="Y40" i="2" s="1"/>
  <c r="BG38" i="4"/>
  <c r="BJ38" i="4"/>
  <c r="BG22" i="4"/>
  <c r="V37" i="4"/>
  <c r="BG37" i="4"/>
  <c r="V21" i="4"/>
  <c r="BJ21" i="4"/>
  <c r="BG21" i="4"/>
  <c r="BG28" i="4"/>
  <c r="BJ28" i="4"/>
  <c r="O13" i="10"/>
  <c r="O15" i="10"/>
  <c r="BG62" i="4"/>
  <c r="J55" i="4"/>
  <c r="J27" i="4"/>
  <c r="L24" i="10"/>
  <c r="Q24" i="10" s="1"/>
  <c r="J26" i="4"/>
  <c r="L18" i="10"/>
  <c r="Q18" i="10" s="1"/>
  <c r="BJ20" i="4"/>
  <c r="BG20" i="4"/>
  <c r="J21" i="4"/>
  <c r="C51" i="4"/>
  <c r="D51" i="4" s="1"/>
  <c r="L14" i="10"/>
  <c r="Q14" i="10" s="1"/>
  <c r="BJ16" i="4"/>
  <c r="BG16" i="4"/>
  <c r="B40" i="7"/>
  <c r="H35" i="11" s="1"/>
  <c r="O37" i="10"/>
  <c r="O38" i="2"/>
  <c r="B36" i="7"/>
  <c r="O33" i="10"/>
  <c r="E35" i="4"/>
  <c r="BG18" i="4"/>
  <c r="BG14" i="4"/>
  <c r="BJ14" i="4"/>
  <c r="O61" i="10"/>
  <c r="O62" i="2"/>
  <c r="E63" i="4"/>
  <c r="B62" i="7"/>
  <c r="H57" i="11" s="1"/>
  <c r="O59" i="10"/>
  <c r="AK68" i="2"/>
  <c r="AS70" i="4"/>
  <c r="AW70" i="2"/>
  <c r="Y25" i="2"/>
  <c r="AE50" i="2"/>
  <c r="BC64" i="2"/>
  <c r="V69" i="4"/>
  <c r="J65" i="4"/>
  <c r="B15" i="7"/>
  <c r="AS61" i="4"/>
  <c r="S66" i="2"/>
  <c r="AW69" i="2"/>
  <c r="S69" i="2"/>
  <c r="S31" i="2"/>
  <c r="AE30" i="2"/>
  <c r="Y62" i="2"/>
  <c r="BL39" i="4"/>
  <c r="BL25" i="4"/>
  <c r="BL17" i="4"/>
  <c r="P68" i="4"/>
  <c r="AW58" i="2"/>
  <c r="P19" i="4"/>
  <c r="AK71" i="2"/>
  <c r="Y42" i="2"/>
  <c r="Y36" i="2"/>
  <c r="BL42" i="4"/>
  <c r="BL21" i="4"/>
  <c r="BL61" i="4"/>
  <c r="H59" i="2"/>
  <c r="BB59" i="2" s="1"/>
  <c r="P14" i="4"/>
  <c r="AS67" i="4"/>
  <c r="AS69" i="4"/>
  <c r="AQ70" i="2"/>
  <c r="AS24" i="4"/>
  <c r="AW44" i="2"/>
  <c r="BL56" i="4"/>
  <c r="BL45" i="4"/>
  <c r="BL38" i="4"/>
  <c r="BL31" i="4"/>
  <c r="AN65" i="4"/>
  <c r="AB15" i="4"/>
  <c r="AS62" i="4"/>
  <c r="S63" i="2"/>
  <c r="S57" i="2"/>
  <c r="S56" i="2"/>
  <c r="H57" i="2"/>
  <c r="BB57" i="2" s="1"/>
  <c r="S67" i="2"/>
  <c r="S60" i="2"/>
  <c r="BB69" i="2"/>
  <c r="BC69" i="2" s="1"/>
  <c r="BB70" i="2"/>
  <c r="B72" i="7"/>
  <c r="H67" i="11" s="1"/>
  <c r="B70" i="7"/>
  <c r="H65" i="11" s="1"/>
  <c r="E71" i="4"/>
  <c r="F72" i="4" s="1"/>
  <c r="AK58" i="2"/>
  <c r="AK57" i="2"/>
  <c r="S24" i="2"/>
  <c r="Y20" i="2"/>
  <c r="AK55" i="2"/>
  <c r="AK54" i="2"/>
  <c r="AJ26" i="2"/>
  <c r="H26" i="2"/>
  <c r="BB26" i="2" s="1"/>
  <c r="AQ42" i="2"/>
  <c r="AQ41" i="2"/>
  <c r="AP31" i="2"/>
  <c r="H31" i="2"/>
  <c r="BB31" i="2" s="1"/>
  <c r="H51" i="2"/>
  <c r="BB51" i="2" s="1"/>
  <c r="R51" i="2"/>
  <c r="R19" i="2"/>
  <c r="S20" i="2" s="1"/>
  <c r="H19" i="2"/>
  <c r="BB19" i="2" s="1"/>
  <c r="Y55" i="2"/>
  <c r="Y56" i="2"/>
  <c r="AD20" i="2"/>
  <c r="AE20" i="2" s="1"/>
  <c r="H20" i="2"/>
  <c r="BB20" i="2" s="1"/>
  <c r="AJ44" i="2"/>
  <c r="H44" i="2"/>
  <c r="BB44" i="2" s="1"/>
  <c r="AQ50" i="2"/>
  <c r="AQ49" i="2"/>
  <c r="Y34" i="2"/>
  <c r="Y35" i="2"/>
  <c r="H34" i="2"/>
  <c r="BB34" i="2" s="1"/>
  <c r="AJ36" i="2"/>
  <c r="H36" i="2"/>
  <c r="BB36" i="2" s="1"/>
  <c r="H38" i="2"/>
  <c r="BB38" i="2" s="1"/>
  <c r="AK21" i="2"/>
  <c r="C16" i="4"/>
  <c r="D16" i="4" s="1"/>
  <c r="C59" i="4"/>
  <c r="D59" i="4" s="1"/>
  <c r="E18" i="4"/>
  <c r="B19" i="7"/>
  <c r="O16" i="10"/>
  <c r="B56" i="7"/>
  <c r="H51" i="11" s="1"/>
  <c r="Q53" i="10"/>
  <c r="O53" i="10"/>
  <c r="E55" i="4"/>
  <c r="O54" i="2"/>
  <c r="B30" i="7"/>
  <c r="E29" i="4"/>
  <c r="F30" i="4" s="1"/>
  <c r="O27" i="10"/>
  <c r="O28" i="2"/>
  <c r="O29" i="2"/>
  <c r="E44" i="4"/>
  <c r="F44" i="4" s="1"/>
  <c r="O42" i="10"/>
  <c r="O44" i="2"/>
  <c r="O43" i="2"/>
  <c r="X48" i="2"/>
  <c r="H48" i="2"/>
  <c r="BB48" i="2" s="1"/>
  <c r="AQ25" i="2"/>
  <c r="AE60" i="2"/>
  <c r="AE61" i="2"/>
  <c r="C25" i="4"/>
  <c r="D25" i="4" s="1"/>
  <c r="C60" i="4"/>
  <c r="D60" i="4" s="1"/>
  <c r="B59" i="7"/>
  <c r="H54" i="11" s="1"/>
  <c r="O58" i="2"/>
  <c r="Q56" i="10"/>
  <c r="O57" i="2"/>
  <c r="O56" i="10"/>
  <c r="B45" i="7"/>
  <c r="H40" i="11" s="1"/>
  <c r="D66" i="4"/>
  <c r="E64" i="4"/>
  <c r="O63" i="2"/>
  <c r="O64" i="2"/>
  <c r="B65" i="7"/>
  <c r="H60" i="11" s="1"/>
  <c r="H54" i="2"/>
  <c r="BB54" i="2" s="1"/>
  <c r="AD54" i="2"/>
  <c r="AE28" i="2"/>
  <c r="B55" i="7"/>
  <c r="H50" i="11" s="1"/>
  <c r="O53" i="2"/>
  <c r="E54" i="4"/>
  <c r="C49" i="4"/>
  <c r="D49" i="4" s="1"/>
  <c r="C31" i="4"/>
  <c r="D31" i="4" s="1"/>
  <c r="C15" i="4"/>
  <c r="D15" i="4" s="1"/>
  <c r="B25" i="7"/>
  <c r="O24" i="2"/>
  <c r="E24" i="4"/>
  <c r="B21" i="7"/>
  <c r="O18" i="10"/>
  <c r="E20" i="4"/>
  <c r="O19" i="2"/>
  <c r="O20" i="2"/>
  <c r="Y70" i="2"/>
  <c r="R50" i="2"/>
  <c r="H50" i="2"/>
  <c r="BB50" i="2" s="1"/>
  <c r="R42" i="2"/>
  <c r="H42" i="2"/>
  <c r="BB42" i="2" s="1"/>
  <c r="R25" i="2"/>
  <c r="H25" i="2"/>
  <c r="BB25" i="2" s="1"/>
  <c r="O22" i="10"/>
  <c r="O52" i="10"/>
  <c r="AK65" i="2"/>
  <c r="AW59" i="2"/>
  <c r="O66" i="2"/>
  <c r="O65" i="2"/>
  <c r="E66" i="4"/>
  <c r="F66" i="4" s="1"/>
  <c r="O64" i="10"/>
  <c r="AW31" i="2"/>
  <c r="Y41" i="2"/>
  <c r="H27" i="2"/>
  <c r="BB27" i="2" s="1"/>
  <c r="H53" i="2"/>
  <c r="BB53" i="2" s="1"/>
  <c r="H24" i="2"/>
  <c r="BB24" i="2" s="1"/>
  <c r="H22" i="2"/>
  <c r="BB22" i="2" s="1"/>
  <c r="H32" i="2"/>
  <c r="BB32" i="2" s="1"/>
  <c r="H41" i="2"/>
  <c r="BB41" i="2" s="1"/>
  <c r="Q62" i="10"/>
  <c r="H52" i="2"/>
  <c r="BB52" i="2" s="1"/>
  <c r="R52" i="2"/>
  <c r="S53" i="2" s="1"/>
  <c r="O62" i="10"/>
  <c r="E58" i="4"/>
  <c r="D61" i="4"/>
  <c r="AQ20" i="2"/>
  <c r="C26" i="4"/>
  <c r="D26" i="4" s="1"/>
  <c r="AK64" i="2"/>
  <c r="AK63" i="2"/>
  <c r="E45" i="4"/>
  <c r="O43" i="10"/>
  <c r="B23" i="7"/>
  <c r="E22" i="4"/>
  <c r="F23" i="4" s="1"/>
  <c r="O20" i="10"/>
  <c r="S39" i="2"/>
  <c r="S33" i="2"/>
  <c r="AK62" i="2"/>
  <c r="B32" i="7"/>
  <c r="O29" i="10"/>
  <c r="E31" i="4"/>
  <c r="F31" i="4" s="1"/>
  <c r="C19" i="4"/>
  <c r="D19" i="4" s="1"/>
  <c r="AE65" i="2"/>
  <c r="O68" i="10"/>
  <c r="B71" i="7"/>
  <c r="H66" i="11" s="1"/>
  <c r="O70" i="2"/>
  <c r="Y64" i="2"/>
  <c r="Y65" i="2"/>
  <c r="B39" i="7"/>
  <c r="H34" i="11" s="1"/>
  <c r="E38" i="4"/>
  <c r="Q36" i="10"/>
  <c r="O36" i="10"/>
  <c r="B24" i="7"/>
  <c r="O21" i="10"/>
  <c r="Q21" i="10"/>
  <c r="S54" i="2"/>
  <c r="B53" i="7"/>
  <c r="H48" i="11" s="1"/>
  <c r="E52" i="4"/>
  <c r="O51" i="2"/>
  <c r="Q50" i="10"/>
  <c r="B31" i="7"/>
  <c r="D63" i="4"/>
  <c r="E61" i="4"/>
  <c r="Q59" i="10"/>
  <c r="O61" i="2"/>
  <c r="O60" i="2"/>
  <c r="O66" i="10"/>
  <c r="B69" i="7"/>
  <c r="H64" i="11" s="1"/>
  <c r="AW68" i="2"/>
  <c r="Y53" i="2"/>
  <c r="E15" i="4"/>
  <c r="Y50" i="2"/>
  <c r="AK53" i="2"/>
  <c r="AW64" i="2"/>
  <c r="AK67" i="2"/>
  <c r="Y69" i="2"/>
  <c r="AE70" i="2"/>
  <c r="Y44" i="2"/>
  <c r="AE53" i="2"/>
  <c r="AE52" i="2"/>
  <c r="AS55" i="4"/>
  <c r="AS58" i="4"/>
  <c r="AS57" i="4"/>
  <c r="AS56" i="4"/>
  <c r="AS48" i="4"/>
  <c r="AS47" i="4"/>
  <c r="AS50" i="4"/>
  <c r="AS49" i="4"/>
  <c r="AS40" i="4"/>
  <c r="AS41" i="4"/>
  <c r="AS39" i="4"/>
  <c r="AS42" i="4"/>
  <c r="AS32" i="4"/>
  <c r="AS33" i="4"/>
  <c r="AS31" i="4"/>
  <c r="AS34" i="4"/>
  <c r="AS25" i="4"/>
  <c r="AS23" i="4"/>
  <c r="AS26" i="4"/>
  <c r="AS17" i="4"/>
  <c r="AS15" i="4"/>
  <c r="AS18" i="4"/>
  <c r="AS16" i="4"/>
  <c r="AQ33" i="2"/>
  <c r="Y32" i="2"/>
  <c r="S41" i="2"/>
  <c r="S28" i="2"/>
  <c r="S27" i="2"/>
  <c r="Y27" i="2"/>
  <c r="Y26" i="2"/>
  <c r="AE57" i="2"/>
  <c r="AE49" i="2"/>
  <c r="AE42" i="2"/>
  <c r="AE24" i="2"/>
  <c r="AE23" i="2"/>
  <c r="AJ49" i="2"/>
  <c r="H49" i="2"/>
  <c r="BB49" i="2" s="1"/>
  <c r="AK42" i="2"/>
  <c r="AK41" i="2"/>
  <c r="AK32" i="2"/>
  <c r="AK31" i="2"/>
  <c r="AJ23" i="2"/>
  <c r="H23" i="2"/>
  <c r="BB23" i="2" s="1"/>
  <c r="AP56" i="2"/>
  <c r="H56" i="2"/>
  <c r="BB56" i="2" s="1"/>
  <c r="AP46" i="2"/>
  <c r="H46" i="2"/>
  <c r="BB46" i="2" s="1"/>
  <c r="AQ39" i="2"/>
  <c r="AQ38" i="2"/>
  <c r="AP28" i="2"/>
  <c r="H28" i="2"/>
  <c r="BB28" i="2" s="1"/>
  <c r="AQ22" i="2"/>
  <c r="AQ23" i="2"/>
  <c r="AW51" i="2"/>
  <c r="AW50" i="2"/>
  <c r="AW45" i="2"/>
  <c r="AW46" i="2"/>
  <c r="AW35" i="2"/>
  <c r="AW28" i="2"/>
  <c r="AW27" i="2"/>
  <c r="AE46" i="2"/>
  <c r="Y60" i="2"/>
  <c r="Y61" i="2"/>
  <c r="AW61" i="2"/>
  <c r="AW60" i="2"/>
  <c r="S61" i="2"/>
  <c r="L27" i="10"/>
  <c r="J29" i="4"/>
  <c r="J30" i="4"/>
  <c r="AQ61" i="2"/>
  <c r="AQ60" i="2"/>
  <c r="AK61" i="2"/>
  <c r="AK60" i="2"/>
  <c r="V62" i="4"/>
  <c r="V61" i="4"/>
  <c r="BJ61" i="4"/>
  <c r="BC63" i="2"/>
  <c r="Y33" i="2"/>
  <c r="BL71" i="4"/>
  <c r="B34" i="7"/>
  <c r="O33" i="2"/>
  <c r="E33" i="4"/>
  <c r="V66" i="4"/>
  <c r="V67" i="4"/>
  <c r="L35" i="10"/>
  <c r="J38" i="4"/>
  <c r="J37" i="4"/>
  <c r="AK33" i="2"/>
  <c r="C54" i="4"/>
  <c r="D54" i="4" s="1"/>
  <c r="P62" i="4"/>
  <c r="L19" i="10"/>
  <c r="J22" i="4"/>
  <c r="AW33" i="2"/>
  <c r="AQ63" i="2"/>
  <c r="BG61" i="4"/>
  <c r="L43" i="10"/>
  <c r="J45" i="4"/>
  <c r="J46" i="4"/>
  <c r="C52" i="4"/>
  <c r="D52" i="4" s="1"/>
  <c r="AE33" i="2"/>
  <c r="AW53" i="2"/>
  <c r="AQ62" i="2"/>
  <c r="AB54" i="4"/>
  <c r="BL27" i="4"/>
  <c r="AB66" i="4"/>
  <c r="BC68" i="2"/>
  <c r="AQ68" i="2"/>
  <c r="S62" i="2"/>
  <c r="P66" i="4"/>
  <c r="BL62" i="4"/>
  <c r="AH62" i="4"/>
  <c r="AB68" i="4"/>
  <c r="AN64" i="4"/>
  <c r="BL64" i="4"/>
  <c r="AB60" i="4"/>
  <c r="J68" i="4"/>
  <c r="J69" i="4"/>
  <c r="BL53" i="4"/>
  <c r="BL35" i="4"/>
  <c r="AN69" i="4"/>
  <c r="BL69" i="4"/>
  <c r="AQ69" i="2"/>
  <c r="BL49" i="4"/>
  <c r="BL66" i="4"/>
  <c r="AH66" i="4"/>
  <c r="P65" i="4"/>
  <c r="AQ64" i="2"/>
  <c r="S64" i="2"/>
  <c r="AQ59" i="2"/>
  <c r="V70" i="4"/>
  <c r="AN15" i="4"/>
  <c r="AE59" i="2"/>
  <c r="AQ66" i="2"/>
  <c r="S68" i="2"/>
  <c r="P69" i="4"/>
  <c r="O59" i="2"/>
  <c r="B60" i="7"/>
  <c r="H55" i="11" s="1"/>
  <c r="Y66" i="2"/>
  <c r="S71" i="2"/>
  <c r="S59" i="2"/>
  <c r="AK66" i="2"/>
  <c r="AK69" i="2"/>
  <c r="AK59" i="2"/>
  <c r="Y59" i="2"/>
  <c r="AE67" i="2"/>
  <c r="AE68" i="2"/>
  <c r="S70" i="2"/>
  <c r="AW71" i="2"/>
  <c r="E13" i="4"/>
  <c r="Y67" i="2"/>
  <c r="Y71" i="2"/>
  <c r="BB60" i="2"/>
  <c r="Y68" i="2"/>
  <c r="AW67" i="2"/>
  <c r="AW66" i="2"/>
  <c r="AE66" i="2"/>
  <c r="L69" i="10"/>
  <c r="J71" i="4"/>
  <c r="AS72" i="4"/>
  <c r="AN72" i="4"/>
  <c r="J67" i="4"/>
  <c r="O67" i="10"/>
  <c r="P72" i="4"/>
  <c r="I70" i="7" l="1"/>
  <c r="I69" i="7"/>
  <c r="AT11" i="4"/>
  <c r="AU11" i="4" s="1"/>
  <c r="AV11" i="4" s="1"/>
  <c r="I66" i="7"/>
  <c r="I65" i="7"/>
  <c r="I37" i="7"/>
  <c r="I59" i="7"/>
  <c r="I72" i="7"/>
  <c r="I53" i="7"/>
  <c r="I68" i="7"/>
  <c r="I62" i="7"/>
  <c r="I61" i="7"/>
  <c r="I41" i="7"/>
  <c r="I55" i="7"/>
  <c r="I45" i="7"/>
  <c r="I56" i="7"/>
  <c r="I33" i="7"/>
  <c r="I60" i="7"/>
  <c r="I71" i="7"/>
  <c r="AJ73" i="4"/>
  <c r="BD73" i="4" s="1"/>
  <c r="BK73" i="4" s="1"/>
  <c r="Q66" i="7"/>
  <c r="AS72" i="2"/>
  <c r="BM72" i="2" s="1"/>
  <c r="AT74" i="4"/>
  <c r="AU74" i="4" s="1"/>
  <c r="AV74" i="4" s="1"/>
  <c r="AT10" i="4"/>
  <c r="AU10" i="4" s="1"/>
  <c r="AV10" i="4" s="1"/>
  <c r="AT12" i="4"/>
  <c r="AU12" i="4" s="1"/>
  <c r="AV12" i="4" s="1"/>
  <c r="F13" i="4"/>
  <c r="K13" i="4" s="1"/>
  <c r="L13" i="4" s="1"/>
  <c r="AZ13" i="4" s="1"/>
  <c r="AF68" i="2"/>
  <c r="AG68" i="2" s="1"/>
  <c r="BK68" i="2" s="1"/>
  <c r="Q69" i="7"/>
  <c r="Q72" i="7"/>
  <c r="Q57" i="7"/>
  <c r="Q71" i="7"/>
  <c r="T68" i="2"/>
  <c r="U68" i="2" s="1"/>
  <c r="BI68" i="2" s="1"/>
  <c r="Q70" i="7"/>
  <c r="AX68" i="2"/>
  <c r="AY68" i="2" s="1"/>
  <c r="BN68" i="2" s="1"/>
  <c r="F14" i="4"/>
  <c r="AC14" i="4" s="1"/>
  <c r="AD14" i="4" s="1"/>
  <c r="BC14" i="4" s="1"/>
  <c r="BC74" i="2"/>
  <c r="BD74" i="2" s="1"/>
  <c r="BE74" i="2" s="1"/>
  <c r="F47" i="4"/>
  <c r="K47" i="4" s="1"/>
  <c r="L47" i="4" s="1"/>
  <c r="AZ47" i="4" s="1"/>
  <c r="Q51" i="4"/>
  <c r="R51" i="4" s="1"/>
  <c r="BA51" i="4" s="1"/>
  <c r="AT28" i="4"/>
  <c r="Q69" i="10"/>
  <c r="Q70" i="10"/>
  <c r="Q66" i="10"/>
  <c r="AT73" i="4"/>
  <c r="AU73" i="4" s="1"/>
  <c r="AV73" i="4" s="1"/>
  <c r="Q67" i="10"/>
  <c r="Q68" i="10"/>
  <c r="K73" i="10"/>
  <c r="R73" i="10" s="1"/>
  <c r="C76" i="7" s="1"/>
  <c r="R76" i="7" s="1"/>
  <c r="P73" i="10"/>
  <c r="AT38" i="4"/>
  <c r="AR35" i="2"/>
  <c r="AS35" i="2" s="1"/>
  <c r="BM35" i="2" s="1"/>
  <c r="AL35" i="2"/>
  <c r="AM35" i="2" s="1"/>
  <c r="BL35" i="2" s="1"/>
  <c r="AR30" i="2"/>
  <c r="AS30" i="2" s="1"/>
  <c r="BM30" i="2" s="1"/>
  <c r="AR39" i="2"/>
  <c r="AS39" i="2" s="1"/>
  <c r="BM39" i="2" s="1"/>
  <c r="AX31" i="2"/>
  <c r="AY31" i="2" s="1"/>
  <c r="BN31" i="2" s="1"/>
  <c r="AF41" i="2"/>
  <c r="AG41" i="2" s="1"/>
  <c r="BK41" i="2" s="1"/>
  <c r="Z31" i="2"/>
  <c r="AA31" i="2" s="1"/>
  <c r="BJ31" i="2" s="1"/>
  <c r="AX39" i="2"/>
  <c r="AY39" i="2" s="1"/>
  <c r="BN39" i="2" s="1"/>
  <c r="AF39" i="2"/>
  <c r="AG39" i="2" s="1"/>
  <c r="BK39" i="2" s="1"/>
  <c r="AL39" i="2"/>
  <c r="AM39" i="2" s="1"/>
  <c r="BL39" i="2" s="1"/>
  <c r="T39" i="2"/>
  <c r="U39" i="2" s="1"/>
  <c r="BI39" i="2" s="1"/>
  <c r="F37" i="4"/>
  <c r="AI37" i="4" s="1"/>
  <c r="AJ37" i="4" s="1"/>
  <c r="BD37" i="4" s="1"/>
  <c r="T55" i="2"/>
  <c r="U55" i="2" s="1"/>
  <c r="BI55" i="2" s="1"/>
  <c r="AX35" i="2"/>
  <c r="AY35" i="2" s="1"/>
  <c r="BN35" i="2" s="1"/>
  <c r="Z35" i="2"/>
  <c r="AA35" i="2" s="1"/>
  <c r="BJ35" i="2" s="1"/>
  <c r="T35" i="2"/>
  <c r="U35" i="2" s="1"/>
  <c r="BI35" i="2" s="1"/>
  <c r="AF35" i="2"/>
  <c r="AG35" i="2" s="1"/>
  <c r="BK35" i="2" s="1"/>
  <c r="T31" i="2"/>
  <c r="U31" i="2" s="1"/>
  <c r="BI31" i="2" s="1"/>
  <c r="T23" i="2"/>
  <c r="U23" i="2" s="1"/>
  <c r="BI23" i="2" s="1"/>
  <c r="Z23" i="2"/>
  <c r="AA23" i="2" s="1"/>
  <c r="BJ23" i="2" s="1"/>
  <c r="F26" i="4"/>
  <c r="W26" i="4" s="1"/>
  <c r="X26" i="4" s="1"/>
  <c r="BB26" i="4" s="1"/>
  <c r="AF31" i="2"/>
  <c r="AG31" i="2" s="1"/>
  <c r="BK31" i="2" s="1"/>
  <c r="F27" i="4"/>
  <c r="W27" i="4" s="1"/>
  <c r="X27" i="4" s="1"/>
  <c r="BB27" i="4" s="1"/>
  <c r="AF23" i="2"/>
  <c r="AG23" i="2" s="1"/>
  <c r="BK23" i="2" s="1"/>
  <c r="AR23" i="2"/>
  <c r="AS23" i="2" s="1"/>
  <c r="BM23" i="2" s="1"/>
  <c r="AL31" i="2"/>
  <c r="AM31" i="2" s="1"/>
  <c r="BL31" i="2" s="1"/>
  <c r="AX23" i="2"/>
  <c r="AY23" i="2" s="1"/>
  <c r="BN23" i="2" s="1"/>
  <c r="BH74" i="4"/>
  <c r="J72" i="10" s="1"/>
  <c r="G72" i="10"/>
  <c r="AT70" i="4"/>
  <c r="AU70" i="4" s="1"/>
  <c r="AV70" i="4" s="1"/>
  <c r="BC73" i="2"/>
  <c r="BD73" i="2" s="1"/>
  <c r="BE73" i="2" s="1"/>
  <c r="Q73" i="7"/>
  <c r="Q64" i="10"/>
  <c r="AT60" i="4"/>
  <c r="AT63" i="4"/>
  <c r="K43" i="4"/>
  <c r="L43" i="4" s="1"/>
  <c r="AZ43" i="4" s="1"/>
  <c r="T22" i="2"/>
  <c r="U22" i="2" s="1"/>
  <c r="BI22" i="2" s="1"/>
  <c r="AR40" i="2"/>
  <c r="AS40" i="2" s="1"/>
  <c r="BM40" i="2" s="1"/>
  <c r="AX36" i="2"/>
  <c r="AY36" i="2" s="1"/>
  <c r="BN36" i="2" s="1"/>
  <c r="AR71" i="2"/>
  <c r="AR52" i="2"/>
  <c r="AS52" i="2" s="1"/>
  <c r="BM52" i="2" s="1"/>
  <c r="AR34" i="2"/>
  <c r="AS34" i="2" s="1"/>
  <c r="BM34" i="2" s="1"/>
  <c r="AF50" i="2"/>
  <c r="AG50" i="2" s="1"/>
  <c r="BK50" i="2" s="1"/>
  <c r="Z40" i="2"/>
  <c r="AA40" i="2" s="1"/>
  <c r="BJ40" i="2" s="1"/>
  <c r="F60" i="4"/>
  <c r="AI60" i="4" s="1"/>
  <c r="AJ60" i="4" s="1"/>
  <c r="BD60" i="4" s="1"/>
  <c r="F49" i="4"/>
  <c r="W49" i="4" s="1"/>
  <c r="X49" i="4" s="1"/>
  <c r="BB49" i="4" s="1"/>
  <c r="T46" i="2"/>
  <c r="U46" i="2" s="1"/>
  <c r="BI46" i="2" s="1"/>
  <c r="AX55" i="2"/>
  <c r="AY55" i="2" s="1"/>
  <c r="BN55" i="2" s="1"/>
  <c r="AR55" i="2"/>
  <c r="AS55" i="2" s="1"/>
  <c r="BM55" i="2" s="1"/>
  <c r="AF32" i="2"/>
  <c r="AG32" i="2" s="1"/>
  <c r="BK32" i="2" s="1"/>
  <c r="AX25" i="2"/>
  <c r="AY25" i="2" s="1"/>
  <c r="BN25" i="2" s="1"/>
  <c r="F28" i="4"/>
  <c r="AC28" i="4" s="1"/>
  <c r="AD28" i="4" s="1"/>
  <c r="BC28" i="4" s="1"/>
  <c r="AX50" i="2"/>
  <c r="AY50" i="2" s="1"/>
  <c r="BN50" i="2" s="1"/>
  <c r="AL55" i="2"/>
  <c r="AM55" i="2" s="1"/>
  <c r="BL55" i="2" s="1"/>
  <c r="AL42" i="2"/>
  <c r="AM42" i="2" s="1"/>
  <c r="BL42" i="2" s="1"/>
  <c r="T41" i="2"/>
  <c r="U41" i="2" s="1"/>
  <c r="BI41" i="2" s="1"/>
  <c r="BD66" i="2"/>
  <c r="BE66" i="2" s="1"/>
  <c r="AX63" i="2"/>
  <c r="AY63" i="2" s="1"/>
  <c r="BN63" i="2" s="1"/>
  <c r="AR50" i="2"/>
  <c r="AS50" i="2" s="1"/>
  <c r="BM50" i="2" s="1"/>
  <c r="Z55" i="2"/>
  <c r="AA55" i="2" s="1"/>
  <c r="BJ55" i="2" s="1"/>
  <c r="AF30" i="2"/>
  <c r="AG30" i="2" s="1"/>
  <c r="BK30" i="2" s="1"/>
  <c r="F35" i="4"/>
  <c r="AI35" i="4" s="1"/>
  <c r="AJ35" i="4" s="1"/>
  <c r="BD35" i="4" s="1"/>
  <c r="Z30" i="2"/>
  <c r="AA30" i="2" s="1"/>
  <c r="BJ30" i="2" s="1"/>
  <c r="AX30" i="2"/>
  <c r="AY30" i="2" s="1"/>
  <c r="BN30" i="2" s="1"/>
  <c r="AX34" i="2"/>
  <c r="AY34" i="2" s="1"/>
  <c r="BN34" i="2" s="1"/>
  <c r="T34" i="2"/>
  <c r="U34" i="2" s="1"/>
  <c r="BI34" i="2" s="1"/>
  <c r="Z71" i="2"/>
  <c r="AA71" i="2" s="1"/>
  <c r="BJ71" i="2" s="1"/>
  <c r="T71" i="2"/>
  <c r="U71" i="2" s="1"/>
  <c r="BI71" i="2" s="1"/>
  <c r="AR53" i="2"/>
  <c r="AS53" i="2" s="1"/>
  <c r="BM53" i="2" s="1"/>
  <c r="AL21" i="2"/>
  <c r="AM21" i="2" s="1"/>
  <c r="BL21" i="2" s="1"/>
  <c r="BC59" i="2"/>
  <c r="BD59" i="2" s="1"/>
  <c r="BE59" i="2" s="1"/>
  <c r="F42" i="4"/>
  <c r="Q42" i="4" s="1"/>
  <c r="R42" i="4" s="1"/>
  <c r="BA42" i="4" s="1"/>
  <c r="F17" i="4"/>
  <c r="AO17" i="4" s="1"/>
  <c r="AP17" i="4" s="1"/>
  <c r="BE17" i="4" s="1"/>
  <c r="K50" i="4"/>
  <c r="L50" i="4" s="1"/>
  <c r="AZ50" i="4" s="1"/>
  <c r="F29" i="4"/>
  <c r="AC29" i="4" s="1"/>
  <c r="AD29" i="4" s="1"/>
  <c r="BC29" i="4" s="1"/>
  <c r="F52" i="4"/>
  <c r="Q52" i="4" s="1"/>
  <c r="R52" i="4" s="1"/>
  <c r="BA52" i="4" s="1"/>
  <c r="F20" i="4"/>
  <c r="AI20" i="4" s="1"/>
  <c r="AJ20" i="4" s="1"/>
  <c r="BD20" i="4" s="1"/>
  <c r="Z34" i="2"/>
  <c r="AA34" i="2" s="1"/>
  <c r="BJ34" i="2" s="1"/>
  <c r="AT67" i="4"/>
  <c r="AT61" i="4"/>
  <c r="AT45" i="4"/>
  <c r="Z45" i="2"/>
  <c r="AA45" i="2" s="1"/>
  <c r="BJ45" i="2" s="1"/>
  <c r="AT44" i="4"/>
  <c r="AU44" i="4" s="1"/>
  <c r="AV44" i="4" s="1"/>
  <c r="AT36" i="4"/>
  <c r="AI40" i="4"/>
  <c r="AJ40" i="4" s="1"/>
  <c r="BD40" i="4" s="1"/>
  <c r="Q40" i="4"/>
  <c r="R40" i="4" s="1"/>
  <c r="BA40" i="4" s="1"/>
  <c r="W40" i="4"/>
  <c r="X40" i="4" s="1"/>
  <c r="BB40" i="4" s="1"/>
  <c r="AC40" i="4"/>
  <c r="AD40" i="4" s="1"/>
  <c r="BC40" i="4" s="1"/>
  <c r="AX59" i="2"/>
  <c r="AY59" i="2" s="1"/>
  <c r="BN59" i="2" s="1"/>
  <c r="AF52" i="2"/>
  <c r="AG52" i="2" s="1"/>
  <c r="BK52" i="2" s="1"/>
  <c r="Z41" i="2"/>
  <c r="AA41" i="2" s="1"/>
  <c r="BJ41" i="2" s="1"/>
  <c r="BC51" i="2"/>
  <c r="BD51" i="2" s="1"/>
  <c r="BE51" i="2" s="1"/>
  <c r="AR41" i="2"/>
  <c r="AS41" i="2" s="1"/>
  <c r="BM41" i="2" s="1"/>
  <c r="Z36" i="2"/>
  <c r="AA36" i="2" s="1"/>
  <c r="BJ36" i="2" s="1"/>
  <c r="BC40" i="2"/>
  <c r="BD40" i="2" s="1"/>
  <c r="BE40" i="2" s="1"/>
  <c r="AX41" i="2"/>
  <c r="AY41" i="2" s="1"/>
  <c r="BN41" i="2" s="1"/>
  <c r="Z52" i="2"/>
  <c r="AA52" i="2" s="1"/>
  <c r="BJ52" i="2" s="1"/>
  <c r="K40" i="4"/>
  <c r="L40" i="4" s="1"/>
  <c r="AZ40" i="4" s="1"/>
  <c r="F41" i="4"/>
  <c r="K41" i="4" s="1"/>
  <c r="L41" i="4" s="1"/>
  <c r="AZ41" i="4" s="1"/>
  <c r="AL52" i="2"/>
  <c r="AM52" i="2" s="1"/>
  <c r="BL52" i="2" s="1"/>
  <c r="AL56" i="2"/>
  <c r="AM56" i="2" s="1"/>
  <c r="BL56" i="2" s="1"/>
  <c r="Z50" i="2"/>
  <c r="AA50" i="2" s="1"/>
  <c r="BJ50" i="2" s="1"/>
  <c r="F54" i="4"/>
  <c r="AC54" i="4" s="1"/>
  <c r="AD54" i="4" s="1"/>
  <c r="BC54" i="4" s="1"/>
  <c r="AF43" i="2"/>
  <c r="AG43" i="2" s="1"/>
  <c r="BK43" i="2" s="1"/>
  <c r="T49" i="2"/>
  <c r="U49" i="2" s="1"/>
  <c r="BI49" i="2" s="1"/>
  <c r="AL30" i="2"/>
  <c r="AM30" i="2" s="1"/>
  <c r="BL30" i="2" s="1"/>
  <c r="AO40" i="4"/>
  <c r="AP40" i="4" s="1"/>
  <c r="BE40" i="4" s="1"/>
  <c r="T30" i="2"/>
  <c r="U30" i="2" s="1"/>
  <c r="BI30" i="2" s="1"/>
  <c r="BC52" i="2"/>
  <c r="BD52" i="2" s="1"/>
  <c r="BE52" i="2" s="1"/>
  <c r="BC48" i="2"/>
  <c r="BD48" i="2" s="1"/>
  <c r="BE48" i="2" s="1"/>
  <c r="AL28" i="2"/>
  <c r="AM28" i="2" s="1"/>
  <c r="BL28" i="2" s="1"/>
  <c r="AR42" i="2"/>
  <c r="AS42" i="2" s="1"/>
  <c r="BM42" i="2" s="1"/>
  <c r="Z38" i="2"/>
  <c r="AA38" i="2" s="1"/>
  <c r="BJ38" i="2" s="1"/>
  <c r="AL34" i="2"/>
  <c r="AM34" i="2" s="1"/>
  <c r="BL34" i="2" s="1"/>
  <c r="F57" i="4"/>
  <c r="Q57" i="4" s="1"/>
  <c r="R57" i="4" s="1"/>
  <c r="BA57" i="4" s="1"/>
  <c r="BI73" i="4"/>
  <c r="AX71" i="2"/>
  <c r="AY71" i="2" s="1"/>
  <c r="BN71" i="2" s="1"/>
  <c r="AL41" i="2"/>
  <c r="AM41" i="2" s="1"/>
  <c r="BL41" i="2" s="1"/>
  <c r="AE48" i="2"/>
  <c r="AF48" i="2" s="1"/>
  <c r="AG48" i="2" s="1"/>
  <c r="BK48" i="2" s="1"/>
  <c r="AX70" i="2"/>
  <c r="AY70" i="2" s="1"/>
  <c r="BN70" i="2" s="1"/>
  <c r="AL20" i="2"/>
  <c r="AM20" i="2" s="1"/>
  <c r="BL20" i="2" s="1"/>
  <c r="BC39" i="2"/>
  <c r="BD39" i="2" s="1"/>
  <c r="BE39" i="2" s="1"/>
  <c r="Z56" i="2"/>
  <c r="AA56" i="2" s="1"/>
  <c r="BJ56" i="2" s="1"/>
  <c r="AL71" i="2"/>
  <c r="AM71" i="2" s="1"/>
  <c r="BL71" i="2" s="1"/>
  <c r="AL46" i="2"/>
  <c r="AM46" i="2" s="1"/>
  <c r="BL46" i="2" s="1"/>
  <c r="AF34" i="2"/>
  <c r="AG34" i="2" s="1"/>
  <c r="BK34" i="2" s="1"/>
  <c r="AF42" i="2"/>
  <c r="AG42" i="2" s="1"/>
  <c r="BK42" i="2" s="1"/>
  <c r="T54" i="2"/>
  <c r="U54" i="2" s="1"/>
  <c r="BI54" i="2" s="1"/>
  <c r="Z42" i="2"/>
  <c r="AA42" i="2" s="1"/>
  <c r="BJ42" i="2" s="1"/>
  <c r="AF45" i="2"/>
  <c r="AG45" i="2" s="1"/>
  <c r="BK45" i="2" s="1"/>
  <c r="Z44" i="2"/>
  <c r="AA44" i="2" s="1"/>
  <c r="BJ44" i="2" s="1"/>
  <c r="AR65" i="2"/>
  <c r="AS65" i="2" s="1"/>
  <c r="BM65" i="2" s="1"/>
  <c r="AR58" i="2"/>
  <c r="AS58" i="2" s="1"/>
  <c r="BM58" i="2" s="1"/>
  <c r="BC72" i="2"/>
  <c r="BD72" i="2" s="1"/>
  <c r="BE72" i="2" s="1"/>
  <c r="T48" i="2"/>
  <c r="U48" i="2" s="1"/>
  <c r="BI48" i="2" s="1"/>
  <c r="AT69" i="4"/>
  <c r="AX37" i="2"/>
  <c r="AY37" i="2" s="1"/>
  <c r="BN37" i="2" s="1"/>
  <c r="BC50" i="2"/>
  <c r="BD50" i="2" s="1"/>
  <c r="BE50" i="2" s="1"/>
  <c r="AF57" i="2"/>
  <c r="AG57" i="2" s="1"/>
  <c r="BK57" i="2" s="1"/>
  <c r="AL63" i="2"/>
  <c r="AM63" i="2" s="1"/>
  <c r="BL63" i="2" s="1"/>
  <c r="S43" i="2"/>
  <c r="T43" i="2" s="1"/>
  <c r="U43" i="2" s="1"/>
  <c r="BI43" i="2" s="1"/>
  <c r="T53" i="2"/>
  <c r="U53" i="2" s="1"/>
  <c r="BI53" i="2" s="1"/>
  <c r="Q39" i="10"/>
  <c r="AL40" i="2"/>
  <c r="AM40" i="2" s="1"/>
  <c r="BL40" i="2" s="1"/>
  <c r="AT37" i="4"/>
  <c r="AF27" i="2"/>
  <c r="AG27" i="2" s="1"/>
  <c r="BK27" i="2" s="1"/>
  <c r="F38" i="4"/>
  <c r="K38" i="4" s="1"/>
  <c r="L38" i="4" s="1"/>
  <c r="AZ38" i="4" s="1"/>
  <c r="Y39" i="2"/>
  <c r="Z39" i="2" s="1"/>
  <c r="AA39" i="2" s="1"/>
  <c r="BJ39" i="2" s="1"/>
  <c r="Z68" i="2"/>
  <c r="AA68" i="2" s="1"/>
  <c r="BJ68" i="2" s="1"/>
  <c r="T70" i="2"/>
  <c r="U70" i="2" s="1"/>
  <c r="BI70" i="2" s="1"/>
  <c r="BD68" i="2"/>
  <c r="BE68" i="2" s="1"/>
  <c r="T66" i="2"/>
  <c r="U66" i="2" s="1"/>
  <c r="BI66" i="2" s="1"/>
  <c r="Z54" i="2"/>
  <c r="AA54" i="2" s="1"/>
  <c r="BJ54" i="2" s="1"/>
  <c r="AT20" i="4"/>
  <c r="AT66" i="4"/>
  <c r="AU66" i="4" s="1"/>
  <c r="AV66" i="4" s="1"/>
  <c r="AT21" i="4"/>
  <c r="AX53" i="2"/>
  <c r="AY53" i="2" s="1"/>
  <c r="BN53" i="2" s="1"/>
  <c r="AT68" i="4"/>
  <c r="BD67" i="2"/>
  <c r="BE67" i="2" s="1"/>
  <c r="AF40" i="2"/>
  <c r="AG40" i="2" s="1"/>
  <c r="BK40" i="2" s="1"/>
  <c r="T32" i="2"/>
  <c r="U32" i="2" s="1"/>
  <c r="BI32" i="2" s="1"/>
  <c r="AX32" i="2"/>
  <c r="AY32" i="2" s="1"/>
  <c r="BN32" i="2" s="1"/>
  <c r="AX46" i="2"/>
  <c r="AY46" i="2" s="1"/>
  <c r="BN46" i="2" s="1"/>
  <c r="F15" i="4"/>
  <c r="W15" i="4" s="1"/>
  <c r="X15" i="4" s="1"/>
  <c r="BB15" i="4" s="1"/>
  <c r="AF22" i="2"/>
  <c r="AG22" i="2" s="1"/>
  <c r="BK22" i="2" s="1"/>
  <c r="AT65" i="4"/>
  <c r="AF66" i="2"/>
  <c r="AG66" i="2" s="1"/>
  <c r="BK66" i="2" s="1"/>
  <c r="AL32" i="2"/>
  <c r="AM32" i="2" s="1"/>
  <c r="BL32" i="2" s="1"/>
  <c r="AF56" i="2"/>
  <c r="AG56" i="2" s="1"/>
  <c r="BK56" i="2" s="1"/>
  <c r="AX66" i="2"/>
  <c r="AY66" i="2" s="1"/>
  <c r="BN66" i="2" s="1"/>
  <c r="AF46" i="2"/>
  <c r="AG46" i="2" s="1"/>
  <c r="BK46" i="2" s="1"/>
  <c r="Z32" i="2"/>
  <c r="AA32" i="2" s="1"/>
  <c r="BJ32" i="2" s="1"/>
  <c r="BC58" i="2"/>
  <c r="BD58" i="2" s="1"/>
  <c r="BE58" i="2" s="1"/>
  <c r="BC30" i="2"/>
  <c r="BD30" i="2" s="1"/>
  <c r="BE30" i="2" s="1"/>
  <c r="BC22" i="2"/>
  <c r="BD22" i="2" s="1"/>
  <c r="BE22" i="2" s="1"/>
  <c r="T56" i="2"/>
  <c r="U56" i="2" s="1"/>
  <c r="BI56" i="2" s="1"/>
  <c r="AX26" i="2"/>
  <c r="AY26" i="2" s="1"/>
  <c r="BN26" i="2" s="1"/>
  <c r="AR66" i="2"/>
  <c r="AS66" i="2" s="1"/>
  <c r="BM66" i="2" s="1"/>
  <c r="AX62" i="2"/>
  <c r="AY62" i="2" s="1"/>
  <c r="BN62" i="2" s="1"/>
  <c r="AX42" i="2"/>
  <c r="AY42" i="2" s="1"/>
  <c r="BN42" i="2" s="1"/>
  <c r="AT14" i="4"/>
  <c r="AX56" i="2"/>
  <c r="AY56" i="2" s="1"/>
  <c r="BN56" i="2" s="1"/>
  <c r="AL66" i="2"/>
  <c r="AM66" i="2" s="1"/>
  <c r="BL66" i="2" s="1"/>
  <c r="Z66" i="2"/>
  <c r="AA66" i="2" s="1"/>
  <c r="BJ66" i="2" s="1"/>
  <c r="T33" i="2"/>
  <c r="U33" i="2" s="1"/>
  <c r="BI33" i="2" s="1"/>
  <c r="AR22" i="2"/>
  <c r="AS22" i="2" s="1"/>
  <c r="BM22" i="2" s="1"/>
  <c r="Z26" i="2"/>
  <c r="AA26" i="2" s="1"/>
  <c r="BJ26" i="2" s="1"/>
  <c r="AI72" i="4"/>
  <c r="AJ72" i="4" s="1"/>
  <c r="AC72" i="4"/>
  <c r="AD72" i="4" s="1"/>
  <c r="W72" i="4"/>
  <c r="X72" i="4" s="1"/>
  <c r="BB72" i="4" s="1"/>
  <c r="AT64" i="4"/>
  <c r="AO70" i="4"/>
  <c r="AP70" i="4" s="1"/>
  <c r="BE70" i="4" s="1"/>
  <c r="AI70" i="4"/>
  <c r="AJ70" i="4" s="1"/>
  <c r="BD70" i="4" s="1"/>
  <c r="AR26" i="2"/>
  <c r="AS26" i="2" s="1"/>
  <c r="BM26" i="2" s="1"/>
  <c r="AF28" i="2"/>
  <c r="AG28" i="2" s="1"/>
  <c r="BK28" i="2" s="1"/>
  <c r="AF36" i="2"/>
  <c r="AG36" i="2" s="1"/>
  <c r="BK36" i="2" s="1"/>
  <c r="BD65" i="2"/>
  <c r="BE65" i="2" s="1"/>
  <c r="AL64" i="2"/>
  <c r="AM64" i="2" s="1"/>
  <c r="BL64" i="2" s="1"/>
  <c r="AL25" i="2"/>
  <c r="AM25" i="2" s="1"/>
  <c r="BL25" i="2" s="1"/>
  <c r="AF71" i="2"/>
  <c r="AG71" i="2" s="1"/>
  <c r="BK71" i="2" s="1"/>
  <c r="AO72" i="4"/>
  <c r="AP72" i="4" s="1"/>
  <c r="BE72" i="4" s="1"/>
  <c r="AC70" i="4"/>
  <c r="AD70" i="4" s="1"/>
  <c r="BC70" i="4" s="1"/>
  <c r="AT72" i="4"/>
  <c r="AU72" i="4" s="1"/>
  <c r="AV72" i="4" s="1"/>
  <c r="AR37" i="2"/>
  <c r="AS37" i="2" s="1"/>
  <c r="BM37" i="2" s="1"/>
  <c r="AT71" i="4"/>
  <c r="AX33" i="2"/>
  <c r="AY33" i="2" s="1"/>
  <c r="BN33" i="2" s="1"/>
  <c r="AF37" i="2"/>
  <c r="AG37" i="2" s="1"/>
  <c r="BK37" i="2" s="1"/>
  <c r="K51" i="4"/>
  <c r="L51" i="4" s="1"/>
  <c r="AZ51" i="4" s="1"/>
  <c r="F68" i="4"/>
  <c r="F69" i="4" s="1"/>
  <c r="AX52" i="2"/>
  <c r="AY52" i="2" s="1"/>
  <c r="BN52" i="2" s="1"/>
  <c r="BC33" i="2"/>
  <c r="BD33" i="2" s="1"/>
  <c r="BE33" i="2" s="1"/>
  <c r="AR21" i="2"/>
  <c r="AS21" i="2" s="1"/>
  <c r="BM21" i="2" s="1"/>
  <c r="Z60" i="2"/>
  <c r="AA60" i="2" s="1"/>
  <c r="BJ60" i="2" s="1"/>
  <c r="AI51" i="4"/>
  <c r="AJ51" i="4" s="1"/>
  <c r="BD51" i="4" s="1"/>
  <c r="F64" i="4"/>
  <c r="K64" i="4" s="1"/>
  <c r="L64" i="4" s="1"/>
  <c r="AZ64" i="4" s="1"/>
  <c r="AO51" i="4"/>
  <c r="AP51" i="4" s="1"/>
  <c r="BE51" i="4" s="1"/>
  <c r="W51" i="4"/>
  <c r="X51" i="4" s="1"/>
  <c r="BB51" i="4" s="1"/>
  <c r="AC51" i="4"/>
  <c r="AD51" i="4" s="1"/>
  <c r="BC51" i="4" s="1"/>
  <c r="Z37" i="2"/>
  <c r="AA37" i="2" s="1"/>
  <c r="BJ37" i="2" s="1"/>
  <c r="AL70" i="2"/>
  <c r="AM70" i="2" s="1"/>
  <c r="BL70" i="2" s="1"/>
  <c r="AX49" i="2"/>
  <c r="AY49" i="2" s="1"/>
  <c r="BN49" i="2" s="1"/>
  <c r="AL43" i="2"/>
  <c r="AM43" i="2" s="1"/>
  <c r="BL43" i="2" s="1"/>
  <c r="AL68" i="2"/>
  <c r="AM68" i="2" s="1"/>
  <c r="BL68" i="2" s="1"/>
  <c r="AF63" i="2"/>
  <c r="AG63" i="2" s="1"/>
  <c r="BK63" i="2" s="1"/>
  <c r="AF47" i="2"/>
  <c r="AG47" i="2" s="1"/>
  <c r="BK47" i="2" s="1"/>
  <c r="AX22" i="2"/>
  <c r="AY22" i="2" s="1"/>
  <c r="BN22" i="2" s="1"/>
  <c r="T37" i="2"/>
  <c r="U37" i="2" s="1"/>
  <c r="BI37" i="2" s="1"/>
  <c r="Z59" i="2"/>
  <c r="AA59" i="2" s="1"/>
  <c r="BJ59" i="2" s="1"/>
  <c r="BC71" i="2"/>
  <c r="BD71" i="2" s="1"/>
  <c r="BE71" i="2" s="1"/>
  <c r="AT46" i="4"/>
  <c r="T40" i="2"/>
  <c r="U40" i="2" s="1"/>
  <c r="BI40" i="2" s="1"/>
  <c r="Z22" i="2"/>
  <c r="AA22" i="2" s="1"/>
  <c r="BJ22" i="2" s="1"/>
  <c r="AF26" i="2"/>
  <c r="AG26" i="2" s="1"/>
  <c r="BK26" i="2" s="1"/>
  <c r="AX40" i="2"/>
  <c r="AY40" i="2" s="1"/>
  <c r="BN40" i="2" s="1"/>
  <c r="T20" i="2"/>
  <c r="U20" i="2" s="1"/>
  <c r="BI20" i="2" s="1"/>
  <c r="AT62" i="4"/>
  <c r="AF25" i="2"/>
  <c r="AG25" i="2" s="1"/>
  <c r="BK25" i="2" s="1"/>
  <c r="Y46" i="2"/>
  <c r="Z46" i="2" s="1"/>
  <c r="AA46" i="2" s="1"/>
  <c r="BJ46" i="2" s="1"/>
  <c r="AR36" i="2"/>
  <c r="AS36" i="2" s="1"/>
  <c r="BM36" i="2" s="1"/>
  <c r="AX21" i="2"/>
  <c r="AY21" i="2" s="1"/>
  <c r="BN21" i="2" s="1"/>
  <c r="Z21" i="2"/>
  <c r="AA21" i="2" s="1"/>
  <c r="BJ21" i="2" s="1"/>
  <c r="F71" i="4"/>
  <c r="AC71" i="4" s="1"/>
  <c r="AD71" i="4" s="1"/>
  <c r="AX44" i="2"/>
  <c r="AY44" i="2" s="1"/>
  <c r="BN44" i="2" s="1"/>
  <c r="BC55" i="2"/>
  <c r="BD55" i="2" s="1"/>
  <c r="BE55" i="2" s="1"/>
  <c r="T36" i="2"/>
  <c r="U36" i="2" s="1"/>
  <c r="BI36" i="2" s="1"/>
  <c r="AL22" i="2"/>
  <c r="AM22" i="2" s="1"/>
  <c r="BL22" i="2" s="1"/>
  <c r="T21" i="2"/>
  <c r="U21" i="2" s="1"/>
  <c r="BI21" i="2" s="1"/>
  <c r="F21" i="4"/>
  <c r="Q43" i="4"/>
  <c r="R43" i="4" s="1"/>
  <c r="BA43" i="4" s="1"/>
  <c r="AO43" i="4"/>
  <c r="AP43" i="4" s="1"/>
  <c r="BE43" i="4" s="1"/>
  <c r="AI43" i="4"/>
  <c r="AJ43" i="4" s="1"/>
  <c r="BD43" i="4" s="1"/>
  <c r="W43" i="4"/>
  <c r="X43" i="4" s="1"/>
  <c r="BB43" i="4" s="1"/>
  <c r="K30" i="4"/>
  <c r="L30" i="4" s="1"/>
  <c r="AZ30" i="4" s="1"/>
  <c r="F18" i="4"/>
  <c r="AI18" i="4" s="1"/>
  <c r="AJ18" i="4" s="1"/>
  <c r="BD18" i="4" s="1"/>
  <c r="AC43" i="4"/>
  <c r="AD43" i="4" s="1"/>
  <c r="BC43" i="4" s="1"/>
  <c r="Q72" i="4"/>
  <c r="R72" i="4" s="1"/>
  <c r="BA72" i="4" s="1"/>
  <c r="AC69" i="4"/>
  <c r="Q57" i="10"/>
  <c r="AL60" i="2"/>
  <c r="AM60" i="2" s="1"/>
  <c r="BL60" i="2" s="1"/>
  <c r="AR67" i="2"/>
  <c r="AT29" i="4"/>
  <c r="AT30" i="4"/>
  <c r="AU30" i="4" s="1"/>
  <c r="AV30" i="4" s="1"/>
  <c r="T38" i="2"/>
  <c r="U38" i="2" s="1"/>
  <c r="BI38" i="2" s="1"/>
  <c r="F61" i="4"/>
  <c r="AC61" i="4" s="1"/>
  <c r="AD61" i="4" s="1"/>
  <c r="BC61" i="4" s="1"/>
  <c r="AR45" i="2"/>
  <c r="AS45" i="2" s="1"/>
  <c r="BM45" i="2" s="1"/>
  <c r="AF67" i="2"/>
  <c r="AG67" i="2" s="1"/>
  <c r="BK67" i="2" s="1"/>
  <c r="AX67" i="2"/>
  <c r="AY67" i="2" s="1"/>
  <c r="BN67" i="2" s="1"/>
  <c r="Z67" i="2"/>
  <c r="AA67" i="2" s="1"/>
  <c r="BJ67" i="2" s="1"/>
  <c r="T62" i="2"/>
  <c r="U62" i="2" s="1"/>
  <c r="BI62" i="2" s="1"/>
  <c r="AF49" i="2"/>
  <c r="AG49" i="2" s="1"/>
  <c r="BK49" i="2" s="1"/>
  <c r="F16" i="4"/>
  <c r="W16" i="4" s="1"/>
  <c r="X16" i="4" s="1"/>
  <c r="BB16" i="4" s="1"/>
  <c r="S52" i="2"/>
  <c r="T52" i="2" s="1"/>
  <c r="U52" i="2" s="1"/>
  <c r="BI52" i="2" s="1"/>
  <c r="AL65" i="2"/>
  <c r="AM65" i="2" s="1"/>
  <c r="BL65" i="2" s="1"/>
  <c r="BC43" i="2"/>
  <c r="BD43" i="2" s="1"/>
  <c r="BE43" i="2" s="1"/>
  <c r="AR25" i="2"/>
  <c r="AS25" i="2" s="1"/>
  <c r="BM25" i="2" s="1"/>
  <c r="AL54" i="2"/>
  <c r="AM54" i="2" s="1"/>
  <c r="BL54" i="2" s="1"/>
  <c r="F63" i="4"/>
  <c r="Q46" i="10"/>
  <c r="Q54" i="10"/>
  <c r="F36" i="4"/>
  <c r="K36" i="4" s="1"/>
  <c r="L36" i="4" s="1"/>
  <c r="AZ36" i="4" s="1"/>
  <c r="AX48" i="2"/>
  <c r="AY48" i="2" s="1"/>
  <c r="BN48" i="2" s="1"/>
  <c r="AT22" i="4"/>
  <c r="Q55" i="10"/>
  <c r="AX38" i="2"/>
  <c r="AY38" i="2" s="1"/>
  <c r="BN38" i="2" s="1"/>
  <c r="AX28" i="2"/>
  <c r="AY28" i="2" s="1"/>
  <c r="BN28" i="2" s="1"/>
  <c r="AR62" i="2"/>
  <c r="AS62" i="2" s="1"/>
  <c r="BM62" i="2" s="1"/>
  <c r="AR60" i="2"/>
  <c r="AS60" i="2" s="1"/>
  <c r="BM60" i="2" s="1"/>
  <c r="Z27" i="2"/>
  <c r="AA27" i="2" s="1"/>
  <c r="BJ27" i="2" s="1"/>
  <c r="F22" i="4"/>
  <c r="AI22" i="4" s="1"/>
  <c r="AJ22" i="4" s="1"/>
  <c r="BD22" i="4" s="1"/>
  <c r="AR48" i="2"/>
  <c r="AS48" i="2" s="1"/>
  <c r="BM48" i="2" s="1"/>
  <c r="AL48" i="2"/>
  <c r="AM48" i="2" s="1"/>
  <c r="BL48" i="2" s="1"/>
  <c r="BC70" i="2"/>
  <c r="BD70" i="2" s="1"/>
  <c r="BE70" i="2" s="1"/>
  <c r="Z62" i="2"/>
  <c r="AA62" i="2" s="1"/>
  <c r="BJ62" i="2" s="1"/>
  <c r="Z47" i="2"/>
  <c r="AA47" i="2" s="1"/>
  <c r="BJ47" i="2" s="1"/>
  <c r="AL47" i="2"/>
  <c r="AM47" i="2" s="1"/>
  <c r="BL47" i="2" s="1"/>
  <c r="T47" i="2"/>
  <c r="U47" i="2" s="1"/>
  <c r="BI47" i="2" s="1"/>
  <c r="AL62" i="2"/>
  <c r="AM62" i="2" s="1"/>
  <c r="BL62" i="2" s="1"/>
  <c r="F48" i="4"/>
  <c r="K48" i="4" s="1"/>
  <c r="L48" i="4" s="1"/>
  <c r="AZ48" i="4" s="1"/>
  <c r="AT52" i="4"/>
  <c r="T45" i="2"/>
  <c r="U45" i="2" s="1"/>
  <c r="BI45" i="2" s="1"/>
  <c r="AX60" i="2"/>
  <c r="AY60" i="2" s="1"/>
  <c r="BN60" i="2" s="1"/>
  <c r="AR38" i="2"/>
  <c r="AS38" i="2" s="1"/>
  <c r="BM38" i="2" s="1"/>
  <c r="T27" i="2"/>
  <c r="U27" i="2" s="1"/>
  <c r="BI27" i="2" s="1"/>
  <c r="AL67" i="2"/>
  <c r="AM67" i="2" s="1"/>
  <c r="BL67" i="2" s="1"/>
  <c r="AX20" i="2"/>
  <c r="AY20" i="2" s="1"/>
  <c r="BN20" i="2" s="1"/>
  <c r="Z25" i="2"/>
  <c r="AA25" i="2" s="1"/>
  <c r="BJ25" i="2" s="1"/>
  <c r="AF62" i="2"/>
  <c r="AG62" i="2" s="1"/>
  <c r="BK62" i="2" s="1"/>
  <c r="AR27" i="2"/>
  <c r="AS27" i="2" s="1"/>
  <c r="BM27" i="2" s="1"/>
  <c r="F19" i="4"/>
  <c r="AO19" i="4" s="1"/>
  <c r="AP19" i="4" s="1"/>
  <c r="BE19" i="4" s="1"/>
  <c r="BD62" i="2"/>
  <c r="BE62" i="2" s="1"/>
  <c r="AX27" i="2"/>
  <c r="AY27" i="2" s="1"/>
  <c r="BN27" i="2" s="1"/>
  <c r="T67" i="2"/>
  <c r="U67" i="2" s="1"/>
  <c r="BI67" i="2" s="1"/>
  <c r="T60" i="2"/>
  <c r="U60" i="2" s="1"/>
  <c r="BI60" i="2" s="1"/>
  <c r="Q45" i="10"/>
  <c r="K70" i="4"/>
  <c r="AZ70" i="4" s="1"/>
  <c r="AX45" i="2"/>
  <c r="AY45" i="2" s="1"/>
  <c r="BN45" i="2" s="1"/>
  <c r="AX65" i="2"/>
  <c r="AY65" i="2" s="1"/>
  <c r="BN65" i="2" s="1"/>
  <c r="T65" i="2"/>
  <c r="U65" i="2" s="1"/>
  <c r="BI65" i="2" s="1"/>
  <c r="AF60" i="2"/>
  <c r="AG60" i="2" s="1"/>
  <c r="BK60" i="2" s="1"/>
  <c r="AR49" i="2"/>
  <c r="AS49" i="2" s="1"/>
  <c r="BM49" i="2" s="1"/>
  <c r="AL38" i="2"/>
  <c r="AM38" i="2" s="1"/>
  <c r="BL38" i="2" s="1"/>
  <c r="AT54" i="4"/>
  <c r="AT53" i="4"/>
  <c r="Q61" i="10"/>
  <c r="Q51" i="10"/>
  <c r="AX47" i="2"/>
  <c r="AY47" i="2" s="1"/>
  <c r="BN47" i="2" s="1"/>
  <c r="AF38" i="2"/>
  <c r="AG38" i="2" s="1"/>
  <c r="BK38" i="2" s="1"/>
  <c r="AR68" i="2"/>
  <c r="AF70" i="2"/>
  <c r="AG70" i="2" s="1"/>
  <c r="BK70" i="2" s="1"/>
  <c r="W70" i="4"/>
  <c r="X70" i="4" s="1"/>
  <c r="BB70" i="4" s="1"/>
  <c r="Q70" i="4"/>
  <c r="R70" i="4" s="1"/>
  <c r="BA70" i="4" s="1"/>
  <c r="F55" i="4"/>
  <c r="F56" i="4"/>
  <c r="T69" i="2"/>
  <c r="U69" i="2" s="1"/>
  <c r="BI69" i="2" s="1"/>
  <c r="AF69" i="2"/>
  <c r="AX69" i="2"/>
  <c r="BN69" i="2" s="1"/>
  <c r="Y19" i="2"/>
  <c r="Z19" i="2" s="1"/>
  <c r="AA19" i="2" s="1"/>
  <c r="BJ19" i="2" s="1"/>
  <c r="Z51" i="2"/>
  <c r="AA51" i="2" s="1"/>
  <c r="BJ51" i="2" s="1"/>
  <c r="AR51" i="2"/>
  <c r="AS51" i="2" s="1"/>
  <c r="BM51" i="2" s="1"/>
  <c r="AL51" i="2"/>
  <c r="AM51" i="2" s="1"/>
  <c r="BL51" i="2" s="1"/>
  <c r="Z24" i="2"/>
  <c r="AA24" i="2" s="1"/>
  <c r="BJ24" i="2" s="1"/>
  <c r="AX24" i="2"/>
  <c r="AY24" i="2" s="1"/>
  <c r="BN24" i="2" s="1"/>
  <c r="BD64" i="2"/>
  <c r="BE64" i="2" s="1"/>
  <c r="AF64" i="2"/>
  <c r="AG64" i="2" s="1"/>
  <c r="BK64" i="2" s="1"/>
  <c r="Z57" i="2"/>
  <c r="AA57" i="2" s="1"/>
  <c r="BJ57" i="2" s="1"/>
  <c r="T57" i="2"/>
  <c r="U57" i="2" s="1"/>
  <c r="BI57" i="2" s="1"/>
  <c r="AX57" i="2"/>
  <c r="AY57" i="2" s="1"/>
  <c r="BN57" i="2" s="1"/>
  <c r="BC44" i="2"/>
  <c r="BD44" i="2" s="1"/>
  <c r="BE44" i="2" s="1"/>
  <c r="BC45" i="2"/>
  <c r="BD45" i="2" s="1"/>
  <c r="BE45" i="2" s="1"/>
  <c r="AF59" i="2"/>
  <c r="AG59" i="2" s="1"/>
  <c r="BK59" i="2" s="1"/>
  <c r="AF53" i="2"/>
  <c r="AG53" i="2" s="1"/>
  <c r="BK53" i="2" s="1"/>
  <c r="Z63" i="2"/>
  <c r="AA63" i="2" s="1"/>
  <c r="BJ63" i="2" s="1"/>
  <c r="T63" i="2"/>
  <c r="U63" i="2" s="1"/>
  <c r="BI63" i="2" s="1"/>
  <c r="AF61" i="2"/>
  <c r="AG61" i="2" s="1"/>
  <c r="BK61" i="2" s="1"/>
  <c r="AF51" i="2"/>
  <c r="AG51" i="2" s="1"/>
  <c r="BK51" i="2" s="1"/>
  <c r="T24" i="2"/>
  <c r="U24" i="2" s="1"/>
  <c r="BI24" i="2" s="1"/>
  <c r="S26" i="2"/>
  <c r="T26" i="2" s="1"/>
  <c r="U26" i="2" s="1"/>
  <c r="BI26" i="2" s="1"/>
  <c r="S25" i="2"/>
  <c r="T25" i="2" s="1"/>
  <c r="U25" i="2" s="1"/>
  <c r="BI25" i="2" s="1"/>
  <c r="F24" i="4"/>
  <c r="F25" i="4"/>
  <c r="BC38" i="2"/>
  <c r="BD38" i="2" s="1"/>
  <c r="BE38" i="2" s="1"/>
  <c r="AL59" i="2"/>
  <c r="AM59" i="2" s="1"/>
  <c r="BL59" i="2" s="1"/>
  <c r="AR59" i="2"/>
  <c r="AS59" i="2" s="1"/>
  <c r="BM59" i="2" s="1"/>
  <c r="AL61" i="2"/>
  <c r="AM61" i="2" s="1"/>
  <c r="BL61" i="2" s="1"/>
  <c r="AX64" i="2"/>
  <c r="AY64" i="2" s="1"/>
  <c r="BN64" i="2" s="1"/>
  <c r="AO23" i="4"/>
  <c r="AP23" i="4" s="1"/>
  <c r="BE23" i="4" s="1"/>
  <c r="AC23" i="4"/>
  <c r="AD23" i="4" s="1"/>
  <c r="BC23" i="4" s="1"/>
  <c r="W23" i="4"/>
  <c r="X23" i="4" s="1"/>
  <c r="BB23" i="4" s="1"/>
  <c r="Q23" i="4"/>
  <c r="R23" i="4" s="1"/>
  <c r="BA23" i="4" s="1"/>
  <c r="AI23" i="4"/>
  <c r="AJ23" i="4" s="1"/>
  <c r="BD23" i="4" s="1"/>
  <c r="K23" i="4"/>
  <c r="L23" i="4" s="1"/>
  <c r="AZ23" i="4" s="1"/>
  <c r="AR24" i="2"/>
  <c r="AS24" i="2" s="1"/>
  <c r="BM24" i="2" s="1"/>
  <c r="Z69" i="2"/>
  <c r="AA69" i="2" s="1"/>
  <c r="BJ69" i="2" s="1"/>
  <c r="Z53" i="2"/>
  <c r="AA53" i="2" s="1"/>
  <c r="BJ53" i="2" s="1"/>
  <c r="BC54" i="2"/>
  <c r="BD54" i="2" s="1"/>
  <c r="BE54" i="2" s="1"/>
  <c r="BC53" i="2"/>
  <c r="BD53" i="2" s="1"/>
  <c r="BE53" i="2" s="1"/>
  <c r="AX29" i="2"/>
  <c r="AY29" i="2" s="1"/>
  <c r="BN29" i="2" s="1"/>
  <c r="AL29" i="2"/>
  <c r="AM29" i="2" s="1"/>
  <c r="BL29" i="2" s="1"/>
  <c r="AF29" i="2"/>
  <c r="AG29" i="2" s="1"/>
  <c r="BK29" i="2" s="1"/>
  <c r="AK44" i="2"/>
  <c r="AL44" i="2" s="1"/>
  <c r="AM44" i="2" s="1"/>
  <c r="BL44" i="2" s="1"/>
  <c r="AK45" i="2"/>
  <c r="AL45" i="2" s="1"/>
  <c r="BC32" i="2"/>
  <c r="BD32" i="2" s="1"/>
  <c r="BE32" i="2" s="1"/>
  <c r="BC31" i="2"/>
  <c r="BD31" i="2" s="1"/>
  <c r="BE31" i="2" s="1"/>
  <c r="F59" i="4"/>
  <c r="F58" i="4"/>
  <c r="BC42" i="2"/>
  <c r="BD42" i="2" s="1"/>
  <c r="BE42" i="2" s="1"/>
  <c r="BC41" i="2"/>
  <c r="BD41" i="2" s="1"/>
  <c r="BE41" i="2" s="1"/>
  <c r="AL19" i="2"/>
  <c r="AM19" i="2" s="1"/>
  <c r="BL19" i="2" s="1"/>
  <c r="AR19" i="2"/>
  <c r="AS19" i="2" s="1"/>
  <c r="BM19" i="2" s="1"/>
  <c r="AX19" i="2"/>
  <c r="AY19" i="2" s="1"/>
  <c r="BN19" i="2" s="1"/>
  <c r="AR61" i="2"/>
  <c r="AS61" i="2" s="1"/>
  <c r="BM61" i="2" s="1"/>
  <c r="AR20" i="2"/>
  <c r="AS20" i="2" s="1"/>
  <c r="BM20" i="2" s="1"/>
  <c r="AE55" i="2"/>
  <c r="AF55" i="2" s="1"/>
  <c r="AG55" i="2" s="1"/>
  <c r="BK55" i="2" s="1"/>
  <c r="AE54" i="2"/>
  <c r="AF54" i="2" s="1"/>
  <c r="AG54" i="2" s="1"/>
  <c r="BK54" i="2" s="1"/>
  <c r="AF20" i="2"/>
  <c r="AG20" i="2" s="1"/>
  <c r="BK20" i="2" s="1"/>
  <c r="S19" i="2"/>
  <c r="T19" i="2" s="1"/>
  <c r="U19" i="2" s="1"/>
  <c r="BI19" i="2" s="1"/>
  <c r="AL58" i="2"/>
  <c r="AM58" i="2" s="1"/>
  <c r="BL58" i="2" s="1"/>
  <c r="F65" i="4"/>
  <c r="AC65" i="4" s="1"/>
  <c r="AD65" i="4" s="1"/>
  <c r="BC65" i="4" s="1"/>
  <c r="T64" i="2"/>
  <c r="U64" i="2" s="1"/>
  <c r="BI64" i="2" s="1"/>
  <c r="AR63" i="2"/>
  <c r="AS63" i="2" s="1"/>
  <c r="BM63" i="2" s="1"/>
  <c r="T28" i="2"/>
  <c r="U28" i="2" s="1"/>
  <c r="BI28" i="2" s="1"/>
  <c r="F62" i="4"/>
  <c r="AI62" i="4" s="1"/>
  <c r="AJ62" i="4" s="1"/>
  <c r="BD62" i="4" s="1"/>
  <c r="AR70" i="2"/>
  <c r="F53" i="4"/>
  <c r="S50" i="2"/>
  <c r="T50" i="2" s="1"/>
  <c r="U50" i="2" s="1"/>
  <c r="BI50" i="2" s="1"/>
  <c r="AO30" i="4"/>
  <c r="AP30" i="4" s="1"/>
  <c r="BE30" i="4" s="1"/>
  <c r="AI30" i="4"/>
  <c r="AJ30" i="4" s="1"/>
  <c r="BD30" i="4" s="1"/>
  <c r="W30" i="4"/>
  <c r="X30" i="4" s="1"/>
  <c r="BB30" i="4" s="1"/>
  <c r="Q30" i="4"/>
  <c r="R30" i="4" s="1"/>
  <c r="BA30" i="4" s="1"/>
  <c r="AC30" i="4"/>
  <c r="AD30" i="4" s="1"/>
  <c r="BC30" i="4" s="1"/>
  <c r="F32" i="4"/>
  <c r="AE21" i="2"/>
  <c r="AF21" i="2" s="1"/>
  <c r="AG21" i="2" s="1"/>
  <c r="BK21" i="2" s="1"/>
  <c r="S51" i="2"/>
  <c r="T51" i="2" s="1"/>
  <c r="U51" i="2" s="1"/>
  <c r="BI51" i="2" s="1"/>
  <c r="AF19" i="2"/>
  <c r="AG19" i="2" s="1"/>
  <c r="BK19" i="2" s="1"/>
  <c r="AF24" i="2"/>
  <c r="AG24" i="2" s="1"/>
  <c r="BK24" i="2" s="1"/>
  <c r="AK36" i="2"/>
  <c r="AL36" i="2" s="1"/>
  <c r="AM36" i="2" s="1"/>
  <c r="BL36" i="2" s="1"/>
  <c r="AK37" i="2"/>
  <c r="AL37" i="2" s="1"/>
  <c r="AM37" i="2" s="1"/>
  <c r="BL37" i="2" s="1"/>
  <c r="BC19" i="2"/>
  <c r="BD19" i="2" s="1"/>
  <c r="BE19" i="2" s="1"/>
  <c r="AQ32" i="2"/>
  <c r="AR32" i="2" s="1"/>
  <c r="AS32" i="2" s="1"/>
  <c r="BM32" i="2" s="1"/>
  <c r="AQ31" i="2"/>
  <c r="AR31" i="2" s="1"/>
  <c r="AS31" i="2" s="1"/>
  <c r="BM31" i="2" s="1"/>
  <c r="Z28" i="2"/>
  <c r="AA28" i="2" s="1"/>
  <c r="BJ28" i="2" s="1"/>
  <c r="BD69" i="2"/>
  <c r="BE69" i="2" s="1"/>
  <c r="Z61" i="2"/>
  <c r="AA61" i="2" s="1"/>
  <c r="BJ61" i="2" s="1"/>
  <c r="AL69" i="2"/>
  <c r="AM69" i="2" s="1"/>
  <c r="BL69" i="2" s="1"/>
  <c r="AR69" i="2"/>
  <c r="F39" i="4"/>
  <c r="W39" i="4" s="1"/>
  <c r="X39" i="4" s="1"/>
  <c r="BB39" i="4" s="1"/>
  <c r="W66" i="4"/>
  <c r="X66" i="4" s="1"/>
  <c r="BB66" i="4" s="1"/>
  <c r="AX61" i="2"/>
  <c r="AY61" i="2" s="1"/>
  <c r="BN61" i="2" s="1"/>
  <c r="AL53" i="2"/>
  <c r="AM53" i="2" s="1"/>
  <c r="BL53" i="2" s="1"/>
  <c r="Z65" i="2"/>
  <c r="AA65" i="2" s="1"/>
  <c r="BJ65" i="2" s="1"/>
  <c r="Y48" i="2"/>
  <c r="Z48" i="2" s="1"/>
  <c r="AA48" i="2" s="1"/>
  <c r="BJ48" i="2" s="1"/>
  <c r="Y49" i="2"/>
  <c r="Z49" i="2" s="1"/>
  <c r="AA49" i="2" s="1"/>
  <c r="BJ49" i="2" s="1"/>
  <c r="Z43" i="2"/>
  <c r="AA43" i="2" s="1"/>
  <c r="BJ43" i="2" s="1"/>
  <c r="AX43" i="2"/>
  <c r="AY43" i="2" s="1"/>
  <c r="BN43" i="2" s="1"/>
  <c r="BC34" i="2"/>
  <c r="BD34" i="2" s="1"/>
  <c r="BE34" i="2" s="1"/>
  <c r="BC35" i="2"/>
  <c r="BD35" i="2" s="1"/>
  <c r="BE35" i="2" s="1"/>
  <c r="AI66" i="4"/>
  <c r="AJ66" i="4" s="1"/>
  <c r="BD66" i="4" s="1"/>
  <c r="Z58" i="2"/>
  <c r="AA58" i="2" s="1"/>
  <c r="BJ58" i="2" s="1"/>
  <c r="AX58" i="2"/>
  <c r="AY58" i="2" s="1"/>
  <c r="BN58" i="2" s="1"/>
  <c r="T58" i="2"/>
  <c r="U58" i="2" s="1"/>
  <c r="BI58" i="2" s="1"/>
  <c r="BC36" i="2"/>
  <c r="BD36" i="2" s="1"/>
  <c r="BE36" i="2" s="1"/>
  <c r="BC37" i="2"/>
  <c r="BD37" i="2" s="1"/>
  <c r="BE37" i="2" s="1"/>
  <c r="AF58" i="2"/>
  <c r="AG58" i="2" s="1"/>
  <c r="BK58" i="2" s="1"/>
  <c r="AK27" i="2"/>
  <c r="AL27" i="2" s="1"/>
  <c r="AM27" i="2" s="1"/>
  <c r="BL27" i="2" s="1"/>
  <c r="AK26" i="2"/>
  <c r="AL26" i="2" s="1"/>
  <c r="AM26" i="2" s="1"/>
  <c r="BL26" i="2" s="1"/>
  <c r="F67" i="4"/>
  <c r="K67" i="4" s="1"/>
  <c r="L67" i="4" s="1"/>
  <c r="AZ67" i="4" s="1"/>
  <c r="Q31" i="4"/>
  <c r="R31" i="4" s="1"/>
  <c r="BA31" i="4" s="1"/>
  <c r="W31" i="4"/>
  <c r="X31" i="4" s="1"/>
  <c r="BB31" i="4" s="1"/>
  <c r="AO31" i="4"/>
  <c r="AP31" i="4" s="1"/>
  <c r="BE31" i="4" s="1"/>
  <c r="AI31" i="4"/>
  <c r="AJ31" i="4" s="1"/>
  <c r="BD31" i="4" s="1"/>
  <c r="AC31" i="4"/>
  <c r="AD31" i="4" s="1"/>
  <c r="BC31" i="4" s="1"/>
  <c r="K31" i="4"/>
  <c r="L31" i="4" s="1"/>
  <c r="AZ31" i="4" s="1"/>
  <c r="BC27" i="2"/>
  <c r="BD27" i="2" s="1"/>
  <c r="BE27" i="2" s="1"/>
  <c r="BC20" i="2"/>
  <c r="BD20" i="2" s="1"/>
  <c r="BE20" i="2" s="1"/>
  <c r="BC21" i="2"/>
  <c r="BD21" i="2" s="1"/>
  <c r="BE21" i="2" s="1"/>
  <c r="AL57" i="2"/>
  <c r="AM57" i="2" s="1"/>
  <c r="BL57" i="2" s="1"/>
  <c r="T61" i="2"/>
  <c r="U61" i="2" s="1"/>
  <c r="BI61" i="2" s="1"/>
  <c r="T59" i="2"/>
  <c r="U59" i="2" s="1"/>
  <c r="BI59" i="2" s="1"/>
  <c r="AR64" i="2"/>
  <c r="AS64" i="2" s="1"/>
  <c r="BM64" i="2" s="1"/>
  <c r="BD63" i="2"/>
  <c r="BE63" i="2" s="1"/>
  <c r="AX51" i="2"/>
  <c r="AY51" i="2" s="1"/>
  <c r="BN51" i="2" s="1"/>
  <c r="S42" i="2"/>
  <c r="T42" i="2" s="1"/>
  <c r="U42" i="2" s="1"/>
  <c r="BI42" i="2" s="1"/>
  <c r="Z64" i="2"/>
  <c r="AA64" i="2" s="1"/>
  <c r="BJ64" i="2" s="1"/>
  <c r="AF65" i="2"/>
  <c r="AG65" i="2" s="1"/>
  <c r="BK65" i="2" s="1"/>
  <c r="F46" i="4"/>
  <c r="F45" i="4"/>
  <c r="K45" i="4" s="1"/>
  <c r="BC26" i="2"/>
  <c r="BD26" i="2" s="1"/>
  <c r="BE26" i="2" s="1"/>
  <c r="BC25" i="2"/>
  <c r="BD25" i="2" s="1"/>
  <c r="BE25" i="2" s="1"/>
  <c r="Z70" i="2"/>
  <c r="AA70" i="2" s="1"/>
  <c r="BJ70" i="2" s="1"/>
  <c r="T29" i="2"/>
  <c r="U29" i="2" s="1"/>
  <c r="BI29" i="2" s="1"/>
  <c r="AR44" i="2"/>
  <c r="AS44" i="2" s="1"/>
  <c r="BM44" i="2" s="1"/>
  <c r="T44" i="2"/>
  <c r="U44" i="2" s="1"/>
  <c r="BI44" i="2" s="1"/>
  <c r="AF44" i="2"/>
  <c r="AG44" i="2" s="1"/>
  <c r="BK44" i="2" s="1"/>
  <c r="AX54" i="2"/>
  <c r="AY54" i="2" s="1"/>
  <c r="BN54" i="2" s="1"/>
  <c r="AR54" i="2"/>
  <c r="AS54" i="2" s="1"/>
  <c r="BM54" i="2" s="1"/>
  <c r="Z29" i="2"/>
  <c r="AA29" i="2" s="1"/>
  <c r="BJ29" i="2" s="1"/>
  <c r="Z20" i="2"/>
  <c r="AA20" i="2" s="1"/>
  <c r="BJ20" i="2" s="1"/>
  <c r="AR43" i="2"/>
  <c r="AS43" i="2" s="1"/>
  <c r="BM43" i="2" s="1"/>
  <c r="AK49" i="2"/>
  <c r="AL49" i="2" s="1"/>
  <c r="AM49" i="2" s="1"/>
  <c r="BL49" i="2" s="1"/>
  <c r="AK50" i="2"/>
  <c r="AL50" i="2" s="1"/>
  <c r="AM50" i="2" s="1"/>
  <c r="BL50" i="2" s="1"/>
  <c r="AC66" i="4"/>
  <c r="AD66" i="4" s="1"/>
  <c r="BC66" i="4" s="1"/>
  <c r="Q19" i="10"/>
  <c r="AL33" i="2"/>
  <c r="AM33" i="2" s="1"/>
  <c r="BL33" i="2" s="1"/>
  <c r="Z33" i="2"/>
  <c r="AA33" i="2" s="1"/>
  <c r="BJ33" i="2" s="1"/>
  <c r="AQ57" i="2"/>
  <c r="AR57" i="2" s="1"/>
  <c r="AS57" i="2" s="1"/>
  <c r="BM57" i="2" s="1"/>
  <c r="AQ56" i="2"/>
  <c r="AR56" i="2" s="1"/>
  <c r="AS56" i="2" s="1"/>
  <c r="BM56" i="2" s="1"/>
  <c r="BC49" i="2"/>
  <c r="BD49" i="2" s="1"/>
  <c r="BE49" i="2" s="1"/>
  <c r="AR33" i="2"/>
  <c r="AS33" i="2" s="1"/>
  <c r="BM33" i="2" s="1"/>
  <c r="AT16" i="4"/>
  <c r="AT31" i="4"/>
  <c r="AU31" i="4" s="1"/>
  <c r="AV31" i="4" s="1"/>
  <c r="AT50" i="4"/>
  <c r="AU50" i="4" s="1"/>
  <c r="AV50" i="4" s="1"/>
  <c r="AT51" i="4"/>
  <c r="AU51" i="4" s="1"/>
  <c r="AV51" i="4" s="1"/>
  <c r="AT18" i="4"/>
  <c r="AT19" i="4"/>
  <c r="AT33" i="4"/>
  <c r="AT47" i="4"/>
  <c r="Q50" i="4"/>
  <c r="R50" i="4" s="1"/>
  <c r="BA50" i="4" s="1"/>
  <c r="AI50" i="4"/>
  <c r="AJ50" i="4" s="1"/>
  <c r="BD50" i="4" s="1"/>
  <c r="AO50" i="4"/>
  <c r="AP50" i="4" s="1"/>
  <c r="BE50" i="4" s="1"/>
  <c r="AC50" i="4"/>
  <c r="AD50" i="4" s="1"/>
  <c r="BC50" i="4" s="1"/>
  <c r="W50" i="4"/>
  <c r="X50" i="4" s="1"/>
  <c r="BB50" i="4" s="1"/>
  <c r="Q27" i="10"/>
  <c r="AQ28" i="2"/>
  <c r="AR28" i="2" s="1"/>
  <c r="AS28" i="2" s="1"/>
  <c r="BM28" i="2" s="1"/>
  <c r="AQ29" i="2"/>
  <c r="AR29" i="2" s="1"/>
  <c r="AS29" i="2" s="1"/>
  <c r="BM29" i="2" s="1"/>
  <c r="AK23" i="2"/>
  <c r="AL23" i="2" s="1"/>
  <c r="AM23" i="2" s="1"/>
  <c r="BL23" i="2" s="1"/>
  <c r="AK24" i="2"/>
  <c r="AL24" i="2" s="1"/>
  <c r="AM24" i="2" s="1"/>
  <c r="BL24" i="2" s="1"/>
  <c r="AT15" i="4"/>
  <c r="AT32" i="4"/>
  <c r="AT48" i="4"/>
  <c r="AT17" i="4"/>
  <c r="AT42" i="4"/>
  <c r="AT43" i="4"/>
  <c r="AU43" i="4" s="1"/>
  <c r="AV43" i="4" s="1"/>
  <c r="AT56" i="4"/>
  <c r="BC24" i="2"/>
  <c r="BD24" i="2" s="1"/>
  <c r="BE24" i="2" s="1"/>
  <c r="BC23" i="2"/>
  <c r="BD23" i="2" s="1"/>
  <c r="BE23" i="2" s="1"/>
  <c r="K44" i="4"/>
  <c r="L44" i="4" s="1"/>
  <c r="AZ44" i="4" s="1"/>
  <c r="W44" i="4"/>
  <c r="X44" i="4" s="1"/>
  <c r="BB44" i="4" s="1"/>
  <c r="AC44" i="4"/>
  <c r="AD44" i="4" s="1"/>
  <c r="BC44" i="4" s="1"/>
  <c r="AO44" i="4"/>
  <c r="AP44" i="4" s="1"/>
  <c r="BE44" i="4" s="1"/>
  <c r="Q44" i="4"/>
  <c r="R44" i="4" s="1"/>
  <c r="BA44" i="4" s="1"/>
  <c r="AI44" i="4"/>
  <c r="AJ44" i="4" s="1"/>
  <c r="BD44" i="4" s="1"/>
  <c r="AT26" i="4"/>
  <c r="AT27" i="4"/>
  <c r="AT39" i="4"/>
  <c r="AT57" i="4"/>
  <c r="BC60" i="2"/>
  <c r="BD60" i="2" s="1"/>
  <c r="BE60" i="2" s="1"/>
  <c r="BC61" i="2"/>
  <c r="BD61" i="2" s="1"/>
  <c r="BE61" i="2" s="1"/>
  <c r="AF33" i="2"/>
  <c r="AG33" i="2" s="1"/>
  <c r="BK33" i="2" s="1"/>
  <c r="Q35" i="10"/>
  <c r="F34" i="4"/>
  <c r="F33" i="4"/>
  <c r="BC46" i="2"/>
  <c r="BD46" i="2" s="1"/>
  <c r="BE46" i="2" s="1"/>
  <c r="BC47" i="2"/>
  <c r="BD47" i="2" s="1"/>
  <c r="BE47" i="2" s="1"/>
  <c r="AT23" i="4"/>
  <c r="AU23" i="4" s="1"/>
  <c r="AV23" i="4" s="1"/>
  <c r="AT24" i="4"/>
  <c r="AT41" i="4"/>
  <c r="AT59" i="4"/>
  <c r="AT58" i="4"/>
  <c r="Q43" i="10"/>
  <c r="AQ46" i="2"/>
  <c r="AR46" i="2" s="1"/>
  <c r="AS46" i="2" s="1"/>
  <c r="BM46" i="2" s="1"/>
  <c r="AQ47" i="2"/>
  <c r="AR47" i="2" s="1"/>
  <c r="AS47" i="2" s="1"/>
  <c r="BM47" i="2" s="1"/>
  <c r="AT25" i="4"/>
  <c r="AT40" i="4"/>
  <c r="AU40" i="4" s="1"/>
  <c r="AV40" i="4" s="1"/>
  <c r="AT55" i="4"/>
  <c r="BC29" i="2"/>
  <c r="BD29" i="2" s="1"/>
  <c r="BE29" i="2" s="1"/>
  <c r="BC28" i="2"/>
  <c r="BD28" i="2" s="1"/>
  <c r="BE28" i="2" s="1"/>
  <c r="AO66" i="4"/>
  <c r="AP66" i="4" s="1"/>
  <c r="BE66" i="4" s="1"/>
  <c r="K66" i="4"/>
  <c r="L66" i="4" s="1"/>
  <c r="AZ66" i="4" s="1"/>
  <c r="Q66" i="4"/>
  <c r="R66" i="4" s="1"/>
  <c r="BA66" i="4" s="1"/>
  <c r="BC56" i="2"/>
  <c r="BD56" i="2" s="1"/>
  <c r="BE56" i="2" s="1"/>
  <c r="BC57" i="2"/>
  <c r="BD57" i="2" s="1"/>
  <c r="BE57" i="2" s="1"/>
  <c r="AT34" i="4"/>
  <c r="AT35" i="4"/>
  <c r="AT49" i="4"/>
  <c r="AU13" i="4" l="1"/>
  <c r="AV13" i="4" s="1"/>
  <c r="AS67" i="2"/>
  <c r="BM67" i="2" s="1"/>
  <c r="BO67" i="2" s="1"/>
  <c r="C66" i="10" s="1"/>
  <c r="E66" i="10" s="1"/>
  <c r="AO13" i="4"/>
  <c r="AP13" i="4" s="1"/>
  <c r="BE13" i="4" s="1"/>
  <c r="AS71" i="2"/>
  <c r="BM71" i="2" s="1"/>
  <c r="AS70" i="2"/>
  <c r="BM70" i="2" s="1"/>
  <c r="AS68" i="2"/>
  <c r="BM68" i="2" s="1"/>
  <c r="BO68" i="2" s="1"/>
  <c r="AS69" i="2"/>
  <c r="BM69" i="2" s="1"/>
  <c r="Q13" i="4"/>
  <c r="R13" i="4" s="1"/>
  <c r="BA13" i="4" s="1"/>
  <c r="BF23" i="4"/>
  <c r="F21" i="10" s="1"/>
  <c r="BF70" i="4"/>
  <c r="F68" i="10" s="1"/>
  <c r="W13" i="4"/>
  <c r="X13" i="4" s="1"/>
  <c r="BB13" i="4" s="1"/>
  <c r="AC13" i="4"/>
  <c r="AD13" i="4" s="1"/>
  <c r="BC13" i="4" s="1"/>
  <c r="AI13" i="4"/>
  <c r="AJ13" i="4" s="1"/>
  <c r="BD13" i="4" s="1"/>
  <c r="W47" i="4"/>
  <c r="X47" i="4" s="1"/>
  <c r="BB47" i="4" s="1"/>
  <c r="BO36" i="2"/>
  <c r="BF66" i="4"/>
  <c r="F64" i="10" s="1"/>
  <c r="G71" i="10"/>
  <c r="K71" i="10" s="1"/>
  <c r="Q47" i="4"/>
  <c r="R47" i="4" s="1"/>
  <c r="BA47" i="4" s="1"/>
  <c r="BO28" i="2"/>
  <c r="BO19" i="2"/>
  <c r="BO22" i="2"/>
  <c r="BO21" i="2"/>
  <c r="BO20" i="2"/>
  <c r="AC47" i="4"/>
  <c r="AD47" i="4" s="1"/>
  <c r="BC47" i="4" s="1"/>
  <c r="AI47" i="4"/>
  <c r="AJ47" i="4" s="1"/>
  <c r="BD47" i="4" s="1"/>
  <c r="AU47" i="4"/>
  <c r="AV47" i="4" s="1"/>
  <c r="AO47" i="4"/>
  <c r="AP47" i="4" s="1"/>
  <c r="BE47" i="4" s="1"/>
  <c r="BH73" i="4"/>
  <c r="J71" i="10" s="1"/>
  <c r="AU21" i="4"/>
  <c r="AV21" i="4" s="1"/>
  <c r="AC26" i="4"/>
  <c r="AD26" i="4" s="1"/>
  <c r="BC26" i="4" s="1"/>
  <c r="Q26" i="4"/>
  <c r="R26" i="4" s="1"/>
  <c r="BA26" i="4" s="1"/>
  <c r="K26" i="4"/>
  <c r="L26" i="4" s="1"/>
  <c r="AZ26" i="4" s="1"/>
  <c r="K27" i="4"/>
  <c r="L27" i="4" s="1"/>
  <c r="AZ27" i="4" s="1"/>
  <c r="W37" i="4"/>
  <c r="X37" i="4" s="1"/>
  <c r="BB37" i="4" s="1"/>
  <c r="AU27" i="4"/>
  <c r="AV27" i="4" s="1"/>
  <c r="Q37" i="4"/>
  <c r="R37" i="4" s="1"/>
  <c r="BA37" i="4" s="1"/>
  <c r="AO37" i="4"/>
  <c r="AP37" i="4" s="1"/>
  <c r="BE37" i="4" s="1"/>
  <c r="BK37" i="4" s="1"/>
  <c r="K37" i="4"/>
  <c r="L37" i="4" s="1"/>
  <c r="AZ37" i="4" s="1"/>
  <c r="AU37" i="4"/>
  <c r="AV37" i="4" s="1"/>
  <c r="AC37" i="4"/>
  <c r="AD37" i="4" s="1"/>
  <c r="BC37" i="4" s="1"/>
  <c r="BO35" i="2"/>
  <c r="K57" i="4"/>
  <c r="L57" i="4" s="1"/>
  <c r="AZ57" i="4" s="1"/>
  <c r="AI27" i="4"/>
  <c r="AJ27" i="4" s="1"/>
  <c r="BD27" i="4" s="1"/>
  <c r="K49" i="4"/>
  <c r="L49" i="4" s="1"/>
  <c r="AZ49" i="4" s="1"/>
  <c r="AU26" i="4"/>
  <c r="AV26" i="4" s="1"/>
  <c r="AO26" i="4"/>
  <c r="AP26" i="4" s="1"/>
  <c r="BE26" i="4" s="1"/>
  <c r="AO27" i="4"/>
  <c r="AP27" i="4" s="1"/>
  <c r="BE27" i="4" s="1"/>
  <c r="Q27" i="4"/>
  <c r="R27" i="4" s="1"/>
  <c r="BA27" i="4" s="1"/>
  <c r="AI26" i="4"/>
  <c r="AJ26" i="4" s="1"/>
  <c r="BD26" i="4" s="1"/>
  <c r="AC27" i="4"/>
  <c r="AD27" i="4" s="1"/>
  <c r="BC27" i="4" s="1"/>
  <c r="Q49" i="4"/>
  <c r="R49" i="4" s="1"/>
  <c r="BA49" i="4" s="1"/>
  <c r="AO49" i="4"/>
  <c r="AP49" i="4" s="1"/>
  <c r="BE49" i="4" s="1"/>
  <c r="K72" i="10"/>
  <c r="R72" i="10" s="1"/>
  <c r="C75" i="7" s="1"/>
  <c r="R75" i="7" s="1"/>
  <c r="P72" i="10"/>
  <c r="AU49" i="4"/>
  <c r="AV49" i="4" s="1"/>
  <c r="AU38" i="4"/>
  <c r="AV38" i="4" s="1"/>
  <c r="AU60" i="4"/>
  <c r="AV60" i="4" s="1"/>
  <c r="AU68" i="4"/>
  <c r="AV68" i="4" s="1"/>
  <c r="AO14" i="4"/>
  <c r="AP14" i="4" s="1"/>
  <c r="BE14" i="4" s="1"/>
  <c r="AI14" i="4"/>
  <c r="AJ14" i="4" s="1"/>
  <c r="BD14" i="4" s="1"/>
  <c r="W60" i="4"/>
  <c r="X60" i="4" s="1"/>
  <c r="BB60" i="4" s="1"/>
  <c r="Q38" i="4"/>
  <c r="R38" i="4" s="1"/>
  <c r="BA38" i="4" s="1"/>
  <c r="K60" i="4"/>
  <c r="L60" i="4" s="1"/>
  <c r="AZ60" i="4" s="1"/>
  <c r="AC60" i="4"/>
  <c r="AD60" i="4" s="1"/>
  <c r="BC60" i="4" s="1"/>
  <c r="Q60" i="4"/>
  <c r="R60" i="4" s="1"/>
  <c r="BA60" i="4" s="1"/>
  <c r="Q54" i="4"/>
  <c r="R54" i="4" s="1"/>
  <c r="BA54" i="4" s="1"/>
  <c r="Q28" i="4"/>
  <c r="R28" i="4" s="1"/>
  <c r="BA28" i="4" s="1"/>
  <c r="AI49" i="4"/>
  <c r="AJ49" i="4" s="1"/>
  <c r="BD49" i="4" s="1"/>
  <c r="AC49" i="4"/>
  <c r="AD49" i="4" s="1"/>
  <c r="BC49" i="4" s="1"/>
  <c r="Q16" i="4"/>
  <c r="R16" i="4" s="1"/>
  <c r="BA16" i="4" s="1"/>
  <c r="AU35" i="4"/>
  <c r="AV35" i="4" s="1"/>
  <c r="K14" i="4"/>
  <c r="L14" i="4" s="1"/>
  <c r="AZ14" i="4" s="1"/>
  <c r="Q20" i="4"/>
  <c r="R20" i="4" s="1"/>
  <c r="BA20" i="4" s="1"/>
  <c r="AI38" i="4"/>
  <c r="AJ38" i="4" s="1"/>
  <c r="BD38" i="4" s="1"/>
  <c r="W35" i="4"/>
  <c r="X35" i="4" s="1"/>
  <c r="BB35" i="4" s="1"/>
  <c r="AO60" i="4"/>
  <c r="AP60" i="4" s="1"/>
  <c r="BE60" i="4" s="1"/>
  <c r="BK60" i="4" s="1"/>
  <c r="K28" i="4"/>
  <c r="L28" i="4" s="1"/>
  <c r="AZ28" i="4" s="1"/>
  <c r="Q41" i="4"/>
  <c r="R41" i="4" s="1"/>
  <c r="BA41" i="4" s="1"/>
  <c r="AO28" i="4"/>
  <c r="AP28" i="4" s="1"/>
  <c r="BE28" i="4" s="1"/>
  <c r="AU28" i="4"/>
  <c r="AV28" i="4" s="1"/>
  <c r="AU41" i="4"/>
  <c r="AV41" i="4" s="1"/>
  <c r="AO41" i="4"/>
  <c r="AP41" i="4" s="1"/>
  <c r="BE41" i="4" s="1"/>
  <c r="AI28" i="4"/>
  <c r="AJ28" i="4" s="1"/>
  <c r="BD28" i="4" s="1"/>
  <c r="W28" i="4"/>
  <c r="X28" i="4" s="1"/>
  <c r="BB28" i="4" s="1"/>
  <c r="W20" i="4"/>
  <c r="X20" i="4" s="1"/>
  <c r="BB20" i="4" s="1"/>
  <c r="BO31" i="2"/>
  <c r="Q35" i="4"/>
  <c r="R35" i="4" s="1"/>
  <c r="BA35" i="4" s="1"/>
  <c r="AI41" i="4"/>
  <c r="AJ41" i="4" s="1"/>
  <c r="BD41" i="4" s="1"/>
  <c r="AC41" i="4"/>
  <c r="AD41" i="4" s="1"/>
  <c r="BC41" i="4" s="1"/>
  <c r="AO20" i="4"/>
  <c r="AP20" i="4" s="1"/>
  <c r="BE20" i="4" s="1"/>
  <c r="BK20" i="4" s="1"/>
  <c r="AU20" i="4"/>
  <c r="AV20" i="4" s="1"/>
  <c r="K52" i="4"/>
  <c r="L52" i="4" s="1"/>
  <c r="AZ52" i="4" s="1"/>
  <c r="AC35" i="4"/>
  <c r="AD35" i="4" s="1"/>
  <c r="BC35" i="4" s="1"/>
  <c r="AO35" i="4"/>
  <c r="AP35" i="4" s="1"/>
  <c r="BE35" i="4" s="1"/>
  <c r="BK35" i="4" s="1"/>
  <c r="Q15" i="4"/>
  <c r="R15" i="4" s="1"/>
  <c r="BA15" i="4" s="1"/>
  <c r="K35" i="4"/>
  <c r="L35" i="4" s="1"/>
  <c r="AZ35" i="4" s="1"/>
  <c r="AO29" i="4"/>
  <c r="AP29" i="4" s="1"/>
  <c r="BE29" i="4" s="1"/>
  <c r="AU16" i="4"/>
  <c r="AV16" i="4" s="1"/>
  <c r="AC16" i="4"/>
  <c r="AD16" i="4" s="1"/>
  <c r="BC16" i="4" s="1"/>
  <c r="K17" i="4"/>
  <c r="L17" i="4" s="1"/>
  <c r="AZ17" i="4" s="1"/>
  <c r="K29" i="4"/>
  <c r="L29" i="4" s="1"/>
  <c r="AZ29" i="4" s="1"/>
  <c r="AO52" i="4"/>
  <c r="AP52" i="4" s="1"/>
  <c r="BE52" i="4" s="1"/>
  <c r="AI42" i="4"/>
  <c r="AJ42" i="4" s="1"/>
  <c r="BD42" i="4" s="1"/>
  <c r="Q29" i="4"/>
  <c r="R29" i="4" s="1"/>
  <c r="BA29" i="4" s="1"/>
  <c r="AU29" i="4"/>
  <c r="AV29" i="4" s="1"/>
  <c r="AU42" i="4"/>
  <c r="AV42" i="4" s="1"/>
  <c r="AC52" i="4"/>
  <c r="AD52" i="4" s="1"/>
  <c r="BC52" i="4" s="1"/>
  <c r="W42" i="4"/>
  <c r="X42" i="4" s="1"/>
  <c r="BB42" i="4" s="1"/>
  <c r="W17" i="4"/>
  <c r="X17" i="4" s="1"/>
  <c r="BB17" i="4" s="1"/>
  <c r="AC15" i="4"/>
  <c r="AD15" i="4" s="1"/>
  <c r="BC15" i="4" s="1"/>
  <c r="K42" i="4"/>
  <c r="L42" i="4" s="1"/>
  <c r="AZ42" i="4" s="1"/>
  <c r="AI29" i="4"/>
  <c r="AJ29" i="4" s="1"/>
  <c r="BD29" i="4" s="1"/>
  <c r="W29" i="4"/>
  <c r="X29" i="4" s="1"/>
  <c r="BB29" i="4" s="1"/>
  <c r="AU17" i="4"/>
  <c r="AV17" i="4" s="1"/>
  <c r="AC38" i="4"/>
  <c r="AD38" i="4" s="1"/>
  <c r="BC38" i="4" s="1"/>
  <c r="AO38" i="4"/>
  <c r="AP38" i="4" s="1"/>
  <c r="BE38" i="4" s="1"/>
  <c r="W38" i="4"/>
  <c r="X38" i="4" s="1"/>
  <c r="BB38" i="4" s="1"/>
  <c r="BO55" i="2"/>
  <c r="AU61" i="4"/>
  <c r="AV61" i="4" s="1"/>
  <c r="W52" i="4"/>
  <c r="X52" i="4" s="1"/>
  <c r="BB52" i="4" s="1"/>
  <c r="AI52" i="4"/>
  <c r="AJ52" i="4" s="1"/>
  <c r="BD52" i="4" s="1"/>
  <c r="AO42" i="4"/>
  <c r="AP42" i="4" s="1"/>
  <c r="BE42" i="4" s="1"/>
  <c r="Q17" i="4"/>
  <c r="R17" i="4" s="1"/>
  <c r="BA17" i="4" s="1"/>
  <c r="AC17" i="4"/>
  <c r="AD17" i="4" s="1"/>
  <c r="BC17" i="4" s="1"/>
  <c r="AI17" i="4"/>
  <c r="AJ17" i="4" s="1"/>
  <c r="BD17" i="4" s="1"/>
  <c r="BK17" i="4" s="1"/>
  <c r="AU52" i="4"/>
  <c r="AV52" i="4" s="1"/>
  <c r="K68" i="4"/>
  <c r="L68" i="4" s="1"/>
  <c r="AZ68" i="4" s="1"/>
  <c r="AC42" i="4"/>
  <c r="AD42" i="4" s="1"/>
  <c r="BC42" i="4" s="1"/>
  <c r="W14" i="4"/>
  <c r="X14" i="4" s="1"/>
  <c r="BB14" i="4" s="1"/>
  <c r="K20" i="4"/>
  <c r="L20" i="4" s="1"/>
  <c r="AZ20" i="4" s="1"/>
  <c r="AC20" i="4"/>
  <c r="AD20" i="4" s="1"/>
  <c r="BC20" i="4" s="1"/>
  <c r="Q14" i="4"/>
  <c r="R14" i="4" s="1"/>
  <c r="BA14" i="4" s="1"/>
  <c r="AO54" i="4"/>
  <c r="AP54" i="4" s="1"/>
  <c r="BE54" i="4" s="1"/>
  <c r="AU45" i="4"/>
  <c r="AV45" i="4" s="1"/>
  <c r="K16" i="4"/>
  <c r="L16" i="4" s="1"/>
  <c r="AZ16" i="4" s="1"/>
  <c r="AO16" i="4"/>
  <c r="AP16" i="4" s="1"/>
  <c r="BE16" i="4" s="1"/>
  <c r="AO22" i="4"/>
  <c r="AP22" i="4" s="1"/>
  <c r="BE22" i="4" s="1"/>
  <c r="BK22" i="4" s="1"/>
  <c r="AC64" i="4"/>
  <c r="AD64" i="4" s="1"/>
  <c r="BC64" i="4" s="1"/>
  <c r="AU54" i="4"/>
  <c r="AV54" i="4" s="1"/>
  <c r="W41" i="4"/>
  <c r="X41" i="4" s="1"/>
  <c r="BB41" i="4" s="1"/>
  <c r="W57" i="4"/>
  <c r="X57" i="4" s="1"/>
  <c r="BB57" i="4" s="1"/>
  <c r="W54" i="4"/>
  <c r="X54" i="4" s="1"/>
  <c r="BB54" i="4" s="1"/>
  <c r="K54" i="4"/>
  <c r="L54" i="4" s="1"/>
  <c r="AZ54" i="4" s="1"/>
  <c r="AI54" i="4"/>
  <c r="AJ54" i="4" s="1"/>
  <c r="BD54" i="4" s="1"/>
  <c r="BO41" i="2"/>
  <c r="AI64" i="4"/>
  <c r="AJ64" i="4" s="1"/>
  <c r="BD64" i="4" s="1"/>
  <c r="W64" i="4"/>
  <c r="X64" i="4" s="1"/>
  <c r="BB64" i="4" s="1"/>
  <c r="BO46" i="2"/>
  <c r="AO64" i="4"/>
  <c r="AP64" i="4" s="1"/>
  <c r="BE64" i="4" s="1"/>
  <c r="Q64" i="4"/>
  <c r="R64" i="4" s="1"/>
  <c r="BA64" i="4" s="1"/>
  <c r="AI57" i="4"/>
  <c r="AJ57" i="4" s="1"/>
  <c r="BD57" i="4" s="1"/>
  <c r="AO57" i="4"/>
  <c r="AP57" i="4" s="1"/>
  <c r="BE57" i="4" s="1"/>
  <c r="AC57" i="4"/>
  <c r="AD57" i="4" s="1"/>
  <c r="BC57" i="4" s="1"/>
  <c r="AO18" i="4"/>
  <c r="AP18" i="4" s="1"/>
  <c r="BE18" i="4" s="1"/>
  <c r="BK18" i="4" s="1"/>
  <c r="AU57" i="4"/>
  <c r="AV57" i="4" s="1"/>
  <c r="K15" i="4"/>
  <c r="L15" i="4" s="1"/>
  <c r="AZ15" i="4" s="1"/>
  <c r="BO56" i="2"/>
  <c r="C55" i="10" s="1"/>
  <c r="E55" i="10" s="1"/>
  <c r="BO42" i="2"/>
  <c r="AU15" i="4"/>
  <c r="AV15" i="4" s="1"/>
  <c r="BO23" i="2"/>
  <c r="AC19" i="4"/>
  <c r="AD19" i="4" s="1"/>
  <c r="BC19" i="4" s="1"/>
  <c r="AI15" i="4"/>
  <c r="AJ15" i="4" s="1"/>
  <c r="BD15" i="4" s="1"/>
  <c r="BO66" i="2"/>
  <c r="Q62" i="4"/>
  <c r="R62" i="4" s="1"/>
  <c r="BA62" i="4" s="1"/>
  <c r="W62" i="4"/>
  <c r="X62" i="4" s="1"/>
  <c r="BB62" i="4" s="1"/>
  <c r="AU14" i="4"/>
  <c r="AV14" i="4" s="1"/>
  <c r="K21" i="4"/>
  <c r="L21" i="4" s="1"/>
  <c r="AZ21" i="4" s="1"/>
  <c r="BO32" i="2"/>
  <c r="AO15" i="4"/>
  <c r="AP15" i="4" s="1"/>
  <c r="BE15" i="4" s="1"/>
  <c r="AI39" i="4"/>
  <c r="AJ39" i="4" s="1"/>
  <c r="BD39" i="4" s="1"/>
  <c r="Q21" i="4"/>
  <c r="R21" i="4" s="1"/>
  <c r="BA21" i="4" s="1"/>
  <c r="AU25" i="4"/>
  <c r="AV25" i="4" s="1"/>
  <c r="W21" i="4"/>
  <c r="X21" i="4" s="1"/>
  <c r="BB21" i="4" s="1"/>
  <c r="AO39" i="4"/>
  <c r="AP39" i="4" s="1"/>
  <c r="BE39" i="4" s="1"/>
  <c r="K39" i="4"/>
  <c r="L39" i="4" s="1"/>
  <c r="AZ39" i="4" s="1"/>
  <c r="AU39" i="4"/>
  <c r="AV39" i="4" s="1"/>
  <c r="AO21" i="4"/>
  <c r="AP21" i="4" s="1"/>
  <c r="BE21" i="4" s="1"/>
  <c r="AC39" i="4"/>
  <c r="AD39" i="4" s="1"/>
  <c r="BC39" i="4" s="1"/>
  <c r="Q39" i="4"/>
  <c r="R39" i="4" s="1"/>
  <c r="BA39" i="4" s="1"/>
  <c r="AC21" i="4"/>
  <c r="AD21" i="4" s="1"/>
  <c r="BC21" i="4" s="1"/>
  <c r="BK23" i="4"/>
  <c r="AU64" i="4"/>
  <c r="AV64" i="4" s="1"/>
  <c r="AD69" i="4"/>
  <c r="BC69" i="4" s="1"/>
  <c r="AU22" i="4"/>
  <c r="AV22" i="4" s="1"/>
  <c r="AI69" i="4"/>
  <c r="AJ69" i="4" s="1"/>
  <c r="BD69" i="4" s="1"/>
  <c r="AI71" i="4"/>
  <c r="AO71" i="4"/>
  <c r="AP71" i="4" s="1"/>
  <c r="BE71" i="4" s="1"/>
  <c r="W71" i="4"/>
  <c r="X71" i="4" s="1"/>
  <c r="BB71" i="4" s="1"/>
  <c r="BO40" i="2"/>
  <c r="BO52" i="2"/>
  <c r="BK43" i="4"/>
  <c r="AU19" i="4"/>
  <c r="AV19" i="4" s="1"/>
  <c r="W19" i="4"/>
  <c r="X19" i="4" s="1"/>
  <c r="BB19" i="4" s="1"/>
  <c r="BC72" i="4"/>
  <c r="BI30" i="4"/>
  <c r="AI19" i="4"/>
  <c r="AJ19" i="4" s="1"/>
  <c r="BD19" i="4" s="1"/>
  <c r="BK19" i="4" s="1"/>
  <c r="K19" i="4"/>
  <c r="L19" i="4" s="1"/>
  <c r="AZ19" i="4" s="1"/>
  <c r="AO68" i="4"/>
  <c r="AP68" i="4" s="1"/>
  <c r="BE68" i="4" s="1"/>
  <c r="AI68" i="4"/>
  <c r="Q19" i="4"/>
  <c r="R19" i="4" s="1"/>
  <c r="BA19" i="4" s="1"/>
  <c r="K72" i="4"/>
  <c r="L72" i="4" s="1"/>
  <c r="AZ72" i="4" s="1"/>
  <c r="W68" i="4"/>
  <c r="X68" i="4" s="1"/>
  <c r="BB68" i="4" s="1"/>
  <c r="K22" i="4"/>
  <c r="L22" i="4" s="1"/>
  <c r="AZ22" i="4" s="1"/>
  <c r="AC68" i="4"/>
  <c r="Q68" i="4"/>
  <c r="R68" i="4" s="1"/>
  <c r="BA68" i="4" s="1"/>
  <c r="BO37" i="2"/>
  <c r="BD72" i="4"/>
  <c r="BK72" i="4" s="1"/>
  <c r="BI43" i="4"/>
  <c r="AU32" i="4"/>
  <c r="AV32" i="4" s="1"/>
  <c r="AU62" i="4"/>
  <c r="AV62" i="4" s="1"/>
  <c r="K61" i="4"/>
  <c r="L61" i="4" s="1"/>
  <c r="AZ61" i="4" s="1"/>
  <c r="AG69" i="2"/>
  <c r="BK69" i="2" s="1"/>
  <c r="W61" i="4"/>
  <c r="X61" i="4" s="1"/>
  <c r="BB61" i="4" s="1"/>
  <c r="AO69" i="4"/>
  <c r="AP69" i="4" s="1"/>
  <c r="BE69" i="4" s="1"/>
  <c r="Q18" i="4"/>
  <c r="R18" i="4" s="1"/>
  <c r="BA18" i="4" s="1"/>
  <c r="BK70" i="4"/>
  <c r="AU55" i="4"/>
  <c r="AV55" i="4" s="1"/>
  <c r="AI21" i="4"/>
  <c r="AJ21" i="4" s="1"/>
  <c r="BD21" i="4" s="1"/>
  <c r="AU56" i="4"/>
  <c r="AV56" i="4" s="1"/>
  <c r="AU18" i="4"/>
  <c r="AV18" i="4" s="1"/>
  <c r="AI16" i="4"/>
  <c r="AJ16" i="4" s="1"/>
  <c r="BD16" i="4" s="1"/>
  <c r="AC22" i="4"/>
  <c r="AD22" i="4" s="1"/>
  <c r="BC22" i="4" s="1"/>
  <c r="W69" i="4"/>
  <c r="X69" i="4" s="1"/>
  <c r="BB69" i="4" s="1"/>
  <c r="BF43" i="4"/>
  <c r="F41" i="10" s="1"/>
  <c r="Q69" i="4"/>
  <c r="R69" i="4" s="1"/>
  <c r="BA69" i="4" s="1"/>
  <c r="AU34" i="4"/>
  <c r="AV34" i="4" s="1"/>
  <c r="AC18" i="4"/>
  <c r="AD18" i="4" s="1"/>
  <c r="BC18" i="4" s="1"/>
  <c r="K71" i="4"/>
  <c r="L71" i="4" s="1"/>
  <c r="AZ71" i="4" s="1"/>
  <c r="BK40" i="4"/>
  <c r="W18" i="4"/>
  <c r="X18" i="4" s="1"/>
  <c r="BB18" i="4" s="1"/>
  <c r="AU71" i="4"/>
  <c r="AV71" i="4" s="1"/>
  <c r="AU69" i="4"/>
  <c r="AV69" i="4" s="1"/>
  <c r="K18" i="4"/>
  <c r="L18" i="4" s="1"/>
  <c r="AZ18" i="4" s="1"/>
  <c r="Q71" i="4"/>
  <c r="R71" i="4" s="1"/>
  <c r="BA71" i="4" s="1"/>
  <c r="BC71" i="4"/>
  <c r="K69" i="4"/>
  <c r="AZ69" i="4" s="1"/>
  <c r="BK66" i="4"/>
  <c r="BO34" i="2"/>
  <c r="BO45" i="2"/>
  <c r="BO43" i="2"/>
  <c r="BO65" i="2"/>
  <c r="C64" i="10" s="1"/>
  <c r="E64" i="10" s="1"/>
  <c r="BO26" i="2"/>
  <c r="BO62" i="2"/>
  <c r="BO54" i="2"/>
  <c r="BO47" i="2"/>
  <c r="BO57" i="2"/>
  <c r="BO60" i="2"/>
  <c r="BO59" i="2"/>
  <c r="BO39" i="2"/>
  <c r="BO49" i="2"/>
  <c r="AU48" i="4"/>
  <c r="AV48" i="4" s="1"/>
  <c r="BO30" i="2"/>
  <c r="BO38" i="2"/>
  <c r="Q65" i="4"/>
  <c r="R65" i="4" s="1"/>
  <c r="BA65" i="4" s="1"/>
  <c r="BO27" i="2"/>
  <c r="AZ45" i="4"/>
  <c r="BF40" i="4"/>
  <c r="F38" i="10" s="1"/>
  <c r="BI40" i="4"/>
  <c r="AO61" i="4"/>
  <c r="AP61" i="4" s="1"/>
  <c r="BE61" i="4" s="1"/>
  <c r="Q61" i="4"/>
  <c r="R61" i="4" s="1"/>
  <c r="BA61" i="4" s="1"/>
  <c r="AI61" i="4"/>
  <c r="AJ61" i="4" s="1"/>
  <c r="BD61" i="4" s="1"/>
  <c r="AI48" i="4"/>
  <c r="AJ48" i="4" s="1"/>
  <c r="BD48" i="4" s="1"/>
  <c r="BI50" i="4"/>
  <c r="Q22" i="4"/>
  <c r="R22" i="4" s="1"/>
  <c r="BA22" i="4" s="1"/>
  <c r="BF30" i="4"/>
  <c r="F28" i="10" s="1"/>
  <c r="BO25" i="2"/>
  <c r="BF51" i="4"/>
  <c r="F49" i="10" s="1"/>
  <c r="BI51" i="4"/>
  <c r="BO44" i="2"/>
  <c r="BK51" i="4"/>
  <c r="BO24" i="2"/>
  <c r="BO48" i="2"/>
  <c r="W22" i="4"/>
  <c r="X22" i="4" s="1"/>
  <c r="BB22" i="4" s="1"/>
  <c r="AU67" i="4"/>
  <c r="AV67" i="4" s="1"/>
  <c r="W48" i="4"/>
  <c r="X48" i="4" s="1"/>
  <c r="BB48" i="4" s="1"/>
  <c r="AO48" i="4"/>
  <c r="AP48" i="4" s="1"/>
  <c r="BE48" i="4" s="1"/>
  <c r="AC48" i="4"/>
  <c r="AD48" i="4" s="1"/>
  <c r="BC48" i="4" s="1"/>
  <c r="Q48" i="4"/>
  <c r="R48" i="4" s="1"/>
  <c r="BA48" i="4" s="1"/>
  <c r="BO53" i="2"/>
  <c r="W67" i="4"/>
  <c r="X67" i="4" s="1"/>
  <c r="BB67" i="4" s="1"/>
  <c r="W63" i="4"/>
  <c r="X63" i="4" s="1"/>
  <c r="BB63" i="4" s="1"/>
  <c r="AI63" i="4"/>
  <c r="AJ63" i="4" s="1"/>
  <c r="BD63" i="4" s="1"/>
  <c r="AO63" i="4"/>
  <c r="AP63" i="4" s="1"/>
  <c r="BE63" i="4" s="1"/>
  <c r="AC63" i="4"/>
  <c r="AD63" i="4" s="1"/>
  <c r="BC63" i="4" s="1"/>
  <c r="K63" i="4"/>
  <c r="L63" i="4" s="1"/>
  <c r="AZ63" i="4" s="1"/>
  <c r="Q63" i="4"/>
  <c r="R63" i="4" s="1"/>
  <c r="BA63" i="4" s="1"/>
  <c r="AU63" i="4"/>
  <c r="AV63" i="4" s="1"/>
  <c r="AU58" i="4"/>
  <c r="AV58" i="4" s="1"/>
  <c r="BI23" i="4"/>
  <c r="Q36" i="4"/>
  <c r="R36" i="4" s="1"/>
  <c r="BA36" i="4" s="1"/>
  <c r="W36" i="4"/>
  <c r="X36" i="4" s="1"/>
  <c r="BB36" i="4" s="1"/>
  <c r="AO36" i="4"/>
  <c r="AP36" i="4" s="1"/>
  <c r="BE36" i="4" s="1"/>
  <c r="AC36" i="4"/>
  <c r="AD36" i="4" s="1"/>
  <c r="BC36" i="4" s="1"/>
  <c r="AI36" i="4"/>
  <c r="AJ36" i="4" s="1"/>
  <c r="BD36" i="4" s="1"/>
  <c r="AU36" i="4"/>
  <c r="AV36" i="4" s="1"/>
  <c r="BO64" i="2"/>
  <c r="BO61" i="2"/>
  <c r="BI70" i="4"/>
  <c r="BO51" i="2"/>
  <c r="AO59" i="4"/>
  <c r="AP59" i="4" s="1"/>
  <c r="BE59" i="4" s="1"/>
  <c r="K59" i="4"/>
  <c r="L59" i="4" s="1"/>
  <c r="AZ59" i="4" s="1"/>
  <c r="Q59" i="4"/>
  <c r="R59" i="4" s="1"/>
  <c r="BA59" i="4" s="1"/>
  <c r="W59" i="4"/>
  <c r="X59" i="4" s="1"/>
  <c r="BB59" i="4" s="1"/>
  <c r="AC59" i="4"/>
  <c r="AD59" i="4" s="1"/>
  <c r="BC59" i="4" s="1"/>
  <c r="AI59" i="4"/>
  <c r="AJ59" i="4" s="1"/>
  <c r="BD59" i="4" s="1"/>
  <c r="Q46" i="4"/>
  <c r="R46" i="4" s="1"/>
  <c r="BA46" i="4" s="1"/>
  <c r="AO46" i="4"/>
  <c r="AP46" i="4" s="1"/>
  <c r="BE46" i="4" s="1"/>
  <c r="AU46" i="4"/>
  <c r="AV46" i="4" s="1"/>
  <c r="W46" i="4"/>
  <c r="X46" i="4" s="1"/>
  <c r="BB46" i="4" s="1"/>
  <c r="AC46" i="4"/>
  <c r="AD46" i="4" s="1"/>
  <c r="BC46" i="4" s="1"/>
  <c r="AI46" i="4"/>
  <c r="AJ46" i="4" s="1"/>
  <c r="BD46" i="4" s="1"/>
  <c r="AI24" i="4"/>
  <c r="AJ24" i="4" s="1"/>
  <c r="BD24" i="4" s="1"/>
  <c r="Q24" i="4"/>
  <c r="R24" i="4" s="1"/>
  <c r="BA24" i="4" s="1"/>
  <c r="W24" i="4"/>
  <c r="X24" i="4" s="1"/>
  <c r="BB24" i="4" s="1"/>
  <c r="K24" i="4"/>
  <c r="L24" i="4" s="1"/>
  <c r="AZ24" i="4" s="1"/>
  <c r="AO24" i="4"/>
  <c r="AP24" i="4" s="1"/>
  <c r="BE24" i="4" s="1"/>
  <c r="AC24" i="4"/>
  <c r="AD24" i="4" s="1"/>
  <c r="BC24" i="4" s="1"/>
  <c r="BI66" i="4"/>
  <c r="K53" i="4"/>
  <c r="L53" i="4" s="1"/>
  <c r="AZ53" i="4" s="1"/>
  <c r="AC53" i="4"/>
  <c r="AD53" i="4" s="1"/>
  <c r="BC53" i="4" s="1"/>
  <c r="AU53" i="4"/>
  <c r="AV53" i="4" s="1"/>
  <c r="AO53" i="4"/>
  <c r="AP53" i="4" s="1"/>
  <c r="BE53" i="4" s="1"/>
  <c r="Q53" i="4"/>
  <c r="R53" i="4" s="1"/>
  <c r="BA53" i="4" s="1"/>
  <c r="AI53" i="4"/>
  <c r="AJ53" i="4" s="1"/>
  <c r="BD53" i="4" s="1"/>
  <c r="W53" i="4"/>
  <c r="X53" i="4" s="1"/>
  <c r="BB53" i="4" s="1"/>
  <c r="BK30" i="4"/>
  <c r="AU24" i="4"/>
  <c r="AV24" i="4" s="1"/>
  <c r="BO50" i="2"/>
  <c r="BF31" i="4"/>
  <c r="F29" i="10" s="1"/>
  <c r="BI31" i="4"/>
  <c r="BK31" i="4"/>
  <c r="W65" i="4"/>
  <c r="X65" i="4" s="1"/>
  <c r="BB65" i="4" s="1"/>
  <c r="AO65" i="4"/>
  <c r="AP65" i="4" s="1"/>
  <c r="BE65" i="4" s="1"/>
  <c r="AI65" i="4"/>
  <c r="AJ65" i="4" s="1"/>
  <c r="BD65" i="4" s="1"/>
  <c r="K46" i="4"/>
  <c r="L46" i="4" s="1"/>
  <c r="AZ46" i="4" s="1"/>
  <c r="AU65" i="4"/>
  <c r="AV65" i="4" s="1"/>
  <c r="AU59" i="4"/>
  <c r="AV59" i="4" s="1"/>
  <c r="K65" i="4"/>
  <c r="L65" i="4" s="1"/>
  <c r="AZ65" i="4" s="1"/>
  <c r="BO33" i="2"/>
  <c r="BO58" i="2"/>
  <c r="BO63" i="2"/>
  <c r="Q32" i="4"/>
  <c r="R32" i="4" s="1"/>
  <c r="BA32" i="4" s="1"/>
  <c r="W32" i="4"/>
  <c r="X32" i="4" s="1"/>
  <c r="BB32" i="4" s="1"/>
  <c r="AI32" i="4"/>
  <c r="AJ32" i="4" s="1"/>
  <c r="BD32" i="4" s="1"/>
  <c r="AO32" i="4"/>
  <c r="AP32" i="4" s="1"/>
  <c r="BE32" i="4" s="1"/>
  <c r="K32" i="4"/>
  <c r="L32" i="4" s="1"/>
  <c r="AZ32" i="4" s="1"/>
  <c r="AC32" i="4"/>
  <c r="AD32" i="4" s="1"/>
  <c r="BC32" i="4" s="1"/>
  <c r="K56" i="4"/>
  <c r="L56" i="4" s="1"/>
  <c r="AZ56" i="4" s="1"/>
  <c r="W56" i="4"/>
  <c r="X56" i="4" s="1"/>
  <c r="BB56" i="4" s="1"/>
  <c r="AI56" i="4"/>
  <c r="AJ56" i="4" s="1"/>
  <c r="BD56" i="4" s="1"/>
  <c r="AO56" i="4"/>
  <c r="AP56" i="4" s="1"/>
  <c r="BE56" i="4" s="1"/>
  <c r="AC56" i="4"/>
  <c r="AD56" i="4" s="1"/>
  <c r="BC56" i="4" s="1"/>
  <c r="Q56" i="4"/>
  <c r="R56" i="4" s="1"/>
  <c r="BA56" i="4" s="1"/>
  <c r="BF50" i="4"/>
  <c r="F48" i="10" s="1"/>
  <c r="BO29" i="2"/>
  <c r="Q67" i="4"/>
  <c r="R67" i="4" s="1"/>
  <c r="BA67" i="4" s="1"/>
  <c r="AO67" i="4"/>
  <c r="AP67" i="4" s="1"/>
  <c r="BE67" i="4" s="1"/>
  <c r="AC67" i="4"/>
  <c r="AI67" i="4"/>
  <c r="AJ67" i="4" s="1"/>
  <c r="BD67" i="4" s="1"/>
  <c r="AC45" i="4"/>
  <c r="AD45" i="4" s="1"/>
  <c r="BC45" i="4" s="1"/>
  <c r="AO45" i="4"/>
  <c r="AP45" i="4" s="1"/>
  <c r="BE45" i="4" s="1"/>
  <c r="Q45" i="4"/>
  <c r="R45" i="4" s="1"/>
  <c r="BA45" i="4" s="1"/>
  <c r="W45" i="4"/>
  <c r="X45" i="4" s="1"/>
  <c r="BB45" i="4" s="1"/>
  <c r="AI45" i="4"/>
  <c r="AJ45" i="4" s="1"/>
  <c r="BD45" i="4" s="1"/>
  <c r="K62" i="4"/>
  <c r="L62" i="4" s="1"/>
  <c r="AZ62" i="4" s="1"/>
  <c r="AO62" i="4"/>
  <c r="AP62" i="4" s="1"/>
  <c r="BE62" i="4" s="1"/>
  <c r="BK62" i="4" s="1"/>
  <c r="AC62" i="4"/>
  <c r="AD62" i="4" s="1"/>
  <c r="BC62" i="4" s="1"/>
  <c r="K58" i="4"/>
  <c r="L58" i="4" s="1"/>
  <c r="AZ58" i="4" s="1"/>
  <c r="AO58" i="4"/>
  <c r="AP58" i="4" s="1"/>
  <c r="BE58" i="4" s="1"/>
  <c r="W58" i="4"/>
  <c r="X58" i="4" s="1"/>
  <c r="BB58" i="4" s="1"/>
  <c r="AC58" i="4"/>
  <c r="AD58" i="4" s="1"/>
  <c r="BC58" i="4" s="1"/>
  <c r="Q58" i="4"/>
  <c r="R58" i="4" s="1"/>
  <c r="BA58" i="4" s="1"/>
  <c r="AI58" i="4"/>
  <c r="AJ58" i="4" s="1"/>
  <c r="BD58" i="4" s="1"/>
  <c r="AI25" i="4"/>
  <c r="AJ25" i="4" s="1"/>
  <c r="BD25" i="4" s="1"/>
  <c r="Q25" i="4"/>
  <c r="R25" i="4" s="1"/>
  <c r="BA25" i="4" s="1"/>
  <c r="K25" i="4"/>
  <c r="L25" i="4" s="1"/>
  <c r="AZ25" i="4" s="1"/>
  <c r="W25" i="4"/>
  <c r="X25" i="4" s="1"/>
  <c r="BB25" i="4" s="1"/>
  <c r="AC25" i="4"/>
  <c r="AD25" i="4" s="1"/>
  <c r="BC25" i="4" s="1"/>
  <c r="AO25" i="4"/>
  <c r="AP25" i="4" s="1"/>
  <c r="BE25" i="4" s="1"/>
  <c r="K55" i="4"/>
  <c r="L55" i="4" s="1"/>
  <c r="AZ55" i="4" s="1"/>
  <c r="Q55" i="4"/>
  <c r="R55" i="4" s="1"/>
  <c r="BA55" i="4" s="1"/>
  <c r="AC55" i="4"/>
  <c r="AD55" i="4" s="1"/>
  <c r="BC55" i="4" s="1"/>
  <c r="W55" i="4"/>
  <c r="X55" i="4" s="1"/>
  <c r="BB55" i="4" s="1"/>
  <c r="AI55" i="4"/>
  <c r="AJ55" i="4" s="1"/>
  <c r="BD55" i="4" s="1"/>
  <c r="AO55" i="4"/>
  <c r="AP55" i="4" s="1"/>
  <c r="BE55" i="4" s="1"/>
  <c r="BK50" i="4"/>
  <c r="BK44" i="4"/>
  <c r="W33" i="4"/>
  <c r="X33" i="4" s="1"/>
  <c r="BB33" i="4" s="1"/>
  <c r="AC33" i="4"/>
  <c r="AD33" i="4" s="1"/>
  <c r="BC33" i="4" s="1"/>
  <c r="AO33" i="4"/>
  <c r="AP33" i="4" s="1"/>
  <c r="BE33" i="4" s="1"/>
  <c r="K33" i="4"/>
  <c r="L33" i="4" s="1"/>
  <c r="AZ33" i="4" s="1"/>
  <c r="AI33" i="4"/>
  <c r="AJ33" i="4" s="1"/>
  <c r="BD33" i="4" s="1"/>
  <c r="Q33" i="4"/>
  <c r="R33" i="4" s="1"/>
  <c r="BA33" i="4" s="1"/>
  <c r="AU33" i="4"/>
  <c r="AV33" i="4" s="1"/>
  <c r="K34" i="4"/>
  <c r="L34" i="4" s="1"/>
  <c r="AZ34" i="4" s="1"/>
  <c r="W34" i="4"/>
  <c r="X34" i="4" s="1"/>
  <c r="BB34" i="4" s="1"/>
  <c r="AC34" i="4"/>
  <c r="AD34" i="4" s="1"/>
  <c r="BC34" i="4" s="1"/>
  <c r="Q34" i="4"/>
  <c r="R34" i="4" s="1"/>
  <c r="BA34" i="4" s="1"/>
  <c r="AO34" i="4"/>
  <c r="AP34" i="4" s="1"/>
  <c r="BE34" i="4" s="1"/>
  <c r="AI34" i="4"/>
  <c r="AJ34" i="4" s="1"/>
  <c r="BD34" i="4" s="1"/>
  <c r="BF44" i="4"/>
  <c r="F42" i="10" s="1"/>
  <c r="BI44" i="4"/>
  <c r="BH70" i="4" l="1"/>
  <c r="J68" i="10" s="1"/>
  <c r="BK13" i="4"/>
  <c r="AJ71" i="4"/>
  <c r="BD71" i="4" s="1"/>
  <c r="BK71" i="4" s="1"/>
  <c r="C50" i="10"/>
  <c r="E50" i="10" s="1"/>
  <c r="C53" i="10"/>
  <c r="E53" i="10" s="1"/>
  <c r="C22" i="10"/>
  <c r="E22" i="10" s="1"/>
  <c r="C45" i="10"/>
  <c r="E45" i="10" s="1"/>
  <c r="C18" i="10"/>
  <c r="E18" i="10" s="1"/>
  <c r="C62" i="10"/>
  <c r="E62" i="10" s="1"/>
  <c r="C52" i="10"/>
  <c r="E52" i="10" s="1"/>
  <c r="C23" i="10"/>
  <c r="E23" i="10" s="1"/>
  <c r="C37" i="10"/>
  <c r="E37" i="10" s="1"/>
  <c r="C48" i="10"/>
  <c r="C56" i="10"/>
  <c r="E56" i="10" s="1"/>
  <c r="C61" i="10"/>
  <c r="E61" i="10" s="1"/>
  <c r="C44" i="10"/>
  <c r="E44" i="10" s="1"/>
  <c r="C65" i="10"/>
  <c r="E65" i="10" s="1"/>
  <c r="C19" i="10"/>
  <c r="E19" i="10" s="1"/>
  <c r="C27" i="10"/>
  <c r="E27" i="10" s="1"/>
  <c r="C42" i="10"/>
  <c r="C31" i="10"/>
  <c r="E31" i="10" s="1"/>
  <c r="C57" i="10"/>
  <c r="E57" i="10" s="1"/>
  <c r="C49" i="10"/>
  <c r="C60" i="10"/>
  <c r="E60" i="10" s="1"/>
  <c r="C38" i="10"/>
  <c r="C46" i="10"/>
  <c r="E46" i="10" s="1"/>
  <c r="C25" i="10"/>
  <c r="E25" i="10" s="1"/>
  <c r="C33" i="10"/>
  <c r="E33" i="10" s="1"/>
  <c r="C36" i="10"/>
  <c r="E36" i="10" s="1"/>
  <c r="C51" i="10"/>
  <c r="E51" i="10" s="1"/>
  <c r="C41" i="10"/>
  <c r="C54" i="10"/>
  <c r="E54" i="10" s="1"/>
  <c r="C30" i="10"/>
  <c r="E30" i="10" s="1"/>
  <c r="C20" i="10"/>
  <c r="E20" i="10" s="1"/>
  <c r="C47" i="10"/>
  <c r="E47" i="10" s="1"/>
  <c r="C59" i="10"/>
  <c r="E59" i="10" s="1"/>
  <c r="C28" i="10"/>
  <c r="C32" i="10"/>
  <c r="E32" i="10" s="1"/>
  <c r="C63" i="10"/>
  <c r="E63" i="10" s="1"/>
  <c r="C43" i="10"/>
  <c r="E43" i="10" s="1"/>
  <c r="C24" i="10"/>
  <c r="E24" i="10" s="1"/>
  <c r="C26" i="10"/>
  <c r="E26" i="10" s="1"/>
  <c r="C29" i="10"/>
  <c r="C58" i="10"/>
  <c r="E58" i="10" s="1"/>
  <c r="BF18" i="4"/>
  <c r="F16" i="10" s="1"/>
  <c r="G16" i="10" s="1"/>
  <c r="BF69" i="4"/>
  <c r="C39" i="10"/>
  <c r="E39" i="10" s="1"/>
  <c r="C40" i="10"/>
  <c r="E40" i="10" s="1"/>
  <c r="C34" i="10"/>
  <c r="E34" i="10" s="1"/>
  <c r="C21" i="10"/>
  <c r="C35" i="10"/>
  <c r="E35" i="10" s="1"/>
  <c r="BI13" i="4"/>
  <c r="BF13" i="4"/>
  <c r="F11" i="10" s="1"/>
  <c r="G11" i="10" s="1"/>
  <c r="K11" i="10" s="1"/>
  <c r="C67" i="10"/>
  <c r="E67" i="10" s="1"/>
  <c r="BF22" i="4"/>
  <c r="F20" i="10" s="1"/>
  <c r="BF21" i="4"/>
  <c r="F19" i="10" s="1"/>
  <c r="BF16" i="4"/>
  <c r="F14" i="10" s="1"/>
  <c r="BF20" i="4"/>
  <c r="F18" i="10" s="1"/>
  <c r="BF19" i="4"/>
  <c r="F17" i="10" s="1"/>
  <c r="BF15" i="4"/>
  <c r="F13" i="10" s="1"/>
  <c r="G13" i="10" s="1"/>
  <c r="K13" i="10" s="1"/>
  <c r="R13" i="10" s="1"/>
  <c r="C16" i="7" s="1"/>
  <c r="R16" i="7" s="1"/>
  <c r="BF17" i="4"/>
  <c r="F15" i="10" s="1"/>
  <c r="BF14" i="4"/>
  <c r="F12" i="10" s="1"/>
  <c r="BK49" i="4"/>
  <c r="BH66" i="4"/>
  <c r="J64" i="10" s="1"/>
  <c r="BI47" i="4"/>
  <c r="BF62" i="4"/>
  <c r="BH71" i="4"/>
  <c r="J69" i="10" s="1"/>
  <c r="BF64" i="4"/>
  <c r="BF54" i="4"/>
  <c r="BF60" i="4"/>
  <c r="BF55" i="4"/>
  <c r="F53" i="10" s="1"/>
  <c r="BF58" i="4"/>
  <c r="F56" i="10" s="1"/>
  <c r="BF56" i="4"/>
  <c r="F54" i="10" s="1"/>
  <c r="BF63" i="4"/>
  <c r="BF61" i="4"/>
  <c r="BF57" i="4"/>
  <c r="F55" i="10" s="1"/>
  <c r="BF59" i="4"/>
  <c r="F57" i="10" s="1"/>
  <c r="BF53" i="4"/>
  <c r="F51" i="10" s="1"/>
  <c r="BF65" i="4"/>
  <c r="BH65" i="4" s="1"/>
  <c r="J63" i="10" s="1"/>
  <c r="BF52" i="4"/>
  <c r="BK47" i="4"/>
  <c r="BF47" i="4"/>
  <c r="G64" i="10"/>
  <c r="K64" i="10" s="1"/>
  <c r="R64" i="10" s="1"/>
  <c r="C67" i="7" s="1"/>
  <c r="R67" i="7" s="1"/>
  <c r="G70" i="10"/>
  <c r="BK15" i="4"/>
  <c r="BI26" i="4"/>
  <c r="BI37" i="4"/>
  <c r="BF37" i="4"/>
  <c r="BK26" i="4"/>
  <c r="BK27" i="4"/>
  <c r="BF26" i="4"/>
  <c r="BF27" i="4"/>
  <c r="BI57" i="4"/>
  <c r="BI27" i="4"/>
  <c r="BI49" i="4"/>
  <c r="BK38" i="4"/>
  <c r="P71" i="10"/>
  <c r="BK28" i="4"/>
  <c r="BK41" i="4"/>
  <c r="BK14" i="4"/>
  <c r="BF49" i="4"/>
  <c r="BK16" i="4"/>
  <c r="BI16" i="4"/>
  <c r="BI38" i="4"/>
  <c r="BI60" i="4"/>
  <c r="BI52" i="4"/>
  <c r="BF28" i="4"/>
  <c r="BK29" i="4"/>
  <c r="BI28" i="4"/>
  <c r="BI41" i="4"/>
  <c r="BF35" i="4"/>
  <c r="BI15" i="4"/>
  <c r="BI20" i="4"/>
  <c r="BK42" i="4"/>
  <c r="BI35" i="4"/>
  <c r="BF42" i="4"/>
  <c r="BF41" i="4"/>
  <c r="BK64" i="4"/>
  <c r="BI64" i="4"/>
  <c r="BI54" i="4"/>
  <c r="BK54" i="4"/>
  <c r="BI17" i="4"/>
  <c r="BK52" i="4"/>
  <c r="BF38" i="4"/>
  <c r="BF29" i="4"/>
  <c r="BI42" i="4"/>
  <c r="BI14" i="4"/>
  <c r="BI29" i="4"/>
  <c r="BK57" i="4"/>
  <c r="BK21" i="4"/>
  <c r="BK39" i="4"/>
  <c r="BI39" i="4"/>
  <c r="BI21" i="4"/>
  <c r="BI19" i="4"/>
  <c r="BF39" i="4"/>
  <c r="AJ68" i="4"/>
  <c r="BD68" i="4" s="1"/>
  <c r="BK68" i="4" s="1"/>
  <c r="AD68" i="4"/>
  <c r="BC68" i="4" s="1"/>
  <c r="BI68" i="4" s="1"/>
  <c r="G69" i="10"/>
  <c r="AD67" i="4"/>
  <c r="BC67" i="4" s="1"/>
  <c r="BI67" i="4" s="1"/>
  <c r="BH72" i="4"/>
  <c r="J70" i="10" s="1"/>
  <c r="BI72" i="4"/>
  <c r="BI61" i="4"/>
  <c r="G17" i="10"/>
  <c r="BI69" i="4"/>
  <c r="BI18" i="4"/>
  <c r="BI36" i="4"/>
  <c r="BI71" i="4"/>
  <c r="BH30" i="4"/>
  <c r="J28" i="10" s="1"/>
  <c r="BF48" i="4"/>
  <c r="BF36" i="4"/>
  <c r="BH43" i="4"/>
  <c r="J41" i="10" s="1"/>
  <c r="BK69" i="4"/>
  <c r="BH50" i="4"/>
  <c r="J48" i="10" s="1"/>
  <c r="BK24" i="4"/>
  <c r="BK61" i="4"/>
  <c r="BK55" i="4"/>
  <c r="BF45" i="4"/>
  <c r="BI22" i="4"/>
  <c r="BK25" i="4"/>
  <c r="BK63" i="4"/>
  <c r="BH40" i="4"/>
  <c r="J38" i="10" s="1"/>
  <c r="BK67" i="4"/>
  <c r="BK48" i="4"/>
  <c r="BK36" i="4"/>
  <c r="BK65" i="4"/>
  <c r="BI63" i="4"/>
  <c r="BH51" i="4"/>
  <c r="J49" i="10" s="1"/>
  <c r="BI65" i="4"/>
  <c r="BI48" i="4"/>
  <c r="BF25" i="4"/>
  <c r="F23" i="10" s="1"/>
  <c r="BI25" i="4"/>
  <c r="BI59" i="4"/>
  <c r="BI45" i="4"/>
  <c r="BK53" i="4"/>
  <c r="BK46" i="4"/>
  <c r="BH31" i="4"/>
  <c r="J29" i="10" s="1"/>
  <c r="BI55" i="4"/>
  <c r="BK56" i="4"/>
  <c r="BI53" i="4"/>
  <c r="BF32" i="4"/>
  <c r="F30" i="10" s="1"/>
  <c r="BI32" i="4"/>
  <c r="BK32" i="4"/>
  <c r="BK58" i="4"/>
  <c r="BI62" i="4"/>
  <c r="BH23" i="4"/>
  <c r="J21" i="10" s="1"/>
  <c r="BK59" i="4"/>
  <c r="BI46" i="4"/>
  <c r="BF46" i="4"/>
  <c r="F44" i="10" s="1"/>
  <c r="BI24" i="4"/>
  <c r="BF24" i="4"/>
  <c r="F22" i="10" s="1"/>
  <c r="BI58" i="4"/>
  <c r="BK45" i="4"/>
  <c r="BI56" i="4"/>
  <c r="BK34" i="4"/>
  <c r="BI34" i="4"/>
  <c r="BF34" i="4"/>
  <c r="F32" i="10" s="1"/>
  <c r="BH44" i="4"/>
  <c r="J42" i="10" s="1"/>
  <c r="BK33" i="4"/>
  <c r="BI33" i="4"/>
  <c r="BF33" i="4"/>
  <c r="F31" i="10" s="1"/>
  <c r="BH13" i="4" l="1"/>
  <c r="J11" i="10" s="1"/>
  <c r="E41" i="10"/>
  <c r="G41" i="10" s="1"/>
  <c r="P41" i="10" s="1"/>
  <c r="E28" i="10"/>
  <c r="G28" i="10" s="1"/>
  <c r="BH14" i="4"/>
  <c r="J12" i="10" s="1"/>
  <c r="E29" i="10"/>
  <c r="G29" i="10" s="1"/>
  <c r="E38" i="10"/>
  <c r="G38" i="10" s="1"/>
  <c r="E49" i="10"/>
  <c r="G49" i="10" s="1"/>
  <c r="E48" i="10"/>
  <c r="G48" i="10" s="1"/>
  <c r="E42" i="10"/>
  <c r="G42" i="10" s="1"/>
  <c r="E21" i="10"/>
  <c r="G21" i="10" s="1"/>
  <c r="G19" i="10"/>
  <c r="K19" i="10" s="1"/>
  <c r="R19" i="10" s="1"/>
  <c r="C22" i="7" s="1"/>
  <c r="R22" i="7" s="1"/>
  <c r="BH16" i="4"/>
  <c r="J14" i="10" s="1"/>
  <c r="BH17" i="4"/>
  <c r="J15" i="10" s="1"/>
  <c r="G18" i="10"/>
  <c r="K18" i="10" s="1"/>
  <c r="R18" i="10" s="1"/>
  <c r="C21" i="7" s="1"/>
  <c r="R21" i="7" s="1"/>
  <c r="BH37" i="4"/>
  <c r="J35" i="10" s="1"/>
  <c r="F35" i="10"/>
  <c r="F58" i="10"/>
  <c r="G58" i="10" s="1"/>
  <c r="BH69" i="4"/>
  <c r="J67" i="10" s="1"/>
  <c r="F67" i="10"/>
  <c r="G67" i="10" s="1"/>
  <c r="F37" i="10"/>
  <c r="G37" i="10" s="1"/>
  <c r="BH38" i="4"/>
  <c r="J36" i="10" s="1"/>
  <c r="F36" i="10"/>
  <c r="G36" i="10" s="1"/>
  <c r="P36" i="10" s="1"/>
  <c r="F33" i="10"/>
  <c r="G33" i="10" s="1"/>
  <c r="BH28" i="4"/>
  <c r="J26" i="10" s="1"/>
  <c r="F26" i="10"/>
  <c r="F24" i="10"/>
  <c r="G24" i="10" s="1"/>
  <c r="F52" i="10"/>
  <c r="G52" i="10" s="1"/>
  <c r="F46" i="10"/>
  <c r="G46" i="10" s="1"/>
  <c r="BH27" i="4"/>
  <c r="J25" i="10" s="1"/>
  <c r="F25" i="10"/>
  <c r="G25" i="10" s="1"/>
  <c r="P25" i="10" s="1"/>
  <c r="BH63" i="4"/>
  <c r="J61" i="10" s="1"/>
  <c r="F61" i="10"/>
  <c r="G61" i="10" s="1"/>
  <c r="K61" i="10" s="1"/>
  <c r="R61" i="10" s="1"/>
  <c r="C64" i="7" s="1"/>
  <c r="R64" i="7" s="1"/>
  <c r="F39" i="10"/>
  <c r="G39" i="10" s="1"/>
  <c r="F50" i="10"/>
  <c r="G50" i="10" s="1"/>
  <c r="G55" i="10"/>
  <c r="BH64" i="4"/>
  <c r="J62" i="10" s="1"/>
  <c r="F62" i="10"/>
  <c r="G62" i="10" s="1"/>
  <c r="P62" i="10" s="1"/>
  <c r="F27" i="10"/>
  <c r="G27" i="10" s="1"/>
  <c r="BH42" i="4"/>
  <c r="J40" i="10" s="1"/>
  <c r="F40" i="10"/>
  <c r="G40" i="10" s="1"/>
  <c r="K40" i="10" s="1"/>
  <c r="R40" i="10" s="1"/>
  <c r="C43" i="7" s="1"/>
  <c r="R43" i="7" s="1"/>
  <c r="F60" i="10"/>
  <c r="G60" i="10" s="1"/>
  <c r="BH45" i="4"/>
  <c r="J43" i="10" s="1"/>
  <c r="F43" i="10"/>
  <c r="G43" i="10" s="1"/>
  <c r="P43" i="10" s="1"/>
  <c r="F34" i="10"/>
  <c r="G34" i="10" s="1"/>
  <c r="F47" i="10"/>
  <c r="G47" i="10" s="1"/>
  <c r="F45" i="10"/>
  <c r="G45" i="10" s="1"/>
  <c r="F63" i="10"/>
  <c r="G63" i="10" s="1"/>
  <c r="F59" i="10"/>
  <c r="G59" i="10" s="1"/>
  <c r="P11" i="10"/>
  <c r="R11" i="10"/>
  <c r="C14" i="7" s="1"/>
  <c r="R14" i="7" s="1"/>
  <c r="BH62" i="4"/>
  <c r="J60" i="10" s="1"/>
  <c r="BH61" i="4"/>
  <c r="J59" i="10" s="1"/>
  <c r="BF68" i="4"/>
  <c r="F66" i="10" s="1"/>
  <c r="BF67" i="4"/>
  <c r="F65" i="10" s="1"/>
  <c r="BH47" i="4"/>
  <c r="J45" i="10" s="1"/>
  <c r="P70" i="10"/>
  <c r="K70" i="10"/>
  <c r="R70" i="10" s="1"/>
  <c r="C73" i="7" s="1"/>
  <c r="R73" i="7" s="1"/>
  <c r="P64" i="10"/>
  <c r="G68" i="10"/>
  <c r="G35" i="10"/>
  <c r="P35" i="10" s="1"/>
  <c r="BH26" i="4"/>
  <c r="J24" i="10" s="1"/>
  <c r="R71" i="10"/>
  <c r="C74" i="7" s="1"/>
  <c r="R74" i="7" s="1"/>
  <c r="G26" i="10"/>
  <c r="P26" i="10" s="1"/>
  <c r="BH35" i="4"/>
  <c r="J33" i="10" s="1"/>
  <c r="BH60" i="4"/>
  <c r="J58" i="10" s="1"/>
  <c r="BH49" i="4"/>
  <c r="J47" i="10" s="1"/>
  <c r="BH41" i="4"/>
  <c r="J39" i="10" s="1"/>
  <c r="BH57" i="4"/>
  <c r="J55" i="10" s="1"/>
  <c r="BH20" i="4"/>
  <c r="J18" i="10" s="1"/>
  <c r="BH29" i="4"/>
  <c r="J27" i="10" s="1"/>
  <c r="G15" i="10"/>
  <c r="P15" i="10" s="1"/>
  <c r="BH52" i="4"/>
  <c r="J50" i="10" s="1"/>
  <c r="BH54" i="4"/>
  <c r="J52" i="10" s="1"/>
  <c r="BH15" i="4"/>
  <c r="J13" i="10" s="1"/>
  <c r="BH19" i="4"/>
  <c r="J17" i="10" s="1"/>
  <c r="BH21" i="4"/>
  <c r="J19" i="10" s="1"/>
  <c r="BH39" i="4"/>
  <c r="J37" i="10" s="1"/>
  <c r="G14" i="10"/>
  <c r="K14" i="10" s="1"/>
  <c r="R14" i="10" s="1"/>
  <c r="C17" i="7" s="1"/>
  <c r="R17" i="7" s="1"/>
  <c r="P69" i="10"/>
  <c r="BH18" i="4"/>
  <c r="J16" i="10" s="1"/>
  <c r="BH48" i="4"/>
  <c r="J46" i="10" s="1"/>
  <c r="BH36" i="4"/>
  <c r="J34" i="10" s="1"/>
  <c r="P13" i="10"/>
  <c r="G20" i="10"/>
  <c r="BH22" i="4"/>
  <c r="J20" i="10" s="1"/>
  <c r="BH32" i="4"/>
  <c r="J30" i="10" s="1"/>
  <c r="G30" i="10"/>
  <c r="BH24" i="4"/>
  <c r="J22" i="10" s="1"/>
  <c r="G22" i="10"/>
  <c r="K16" i="10"/>
  <c r="R16" i="10" s="1"/>
  <c r="C19" i="7" s="1"/>
  <c r="R19" i="7" s="1"/>
  <c r="P16" i="10"/>
  <c r="G53" i="10"/>
  <c r="BH55" i="4"/>
  <c r="J53" i="10" s="1"/>
  <c r="BH53" i="4"/>
  <c r="J51" i="10" s="1"/>
  <c r="G51" i="10"/>
  <c r="BH25" i="4"/>
  <c r="J23" i="10" s="1"/>
  <c r="G23" i="10"/>
  <c r="G57" i="10"/>
  <c r="BH59" i="4"/>
  <c r="J57" i="10" s="1"/>
  <c r="BH58" i="4"/>
  <c r="J56" i="10" s="1"/>
  <c r="G56" i="10"/>
  <c r="BH56" i="4"/>
  <c r="J54" i="10" s="1"/>
  <c r="G54" i="10"/>
  <c r="BH46" i="4"/>
  <c r="J44" i="10" s="1"/>
  <c r="G44" i="10"/>
  <c r="G31" i="10"/>
  <c r="BH33" i="4"/>
  <c r="J31" i="10" s="1"/>
  <c r="K17" i="10"/>
  <c r="R17" i="10" s="1"/>
  <c r="C20" i="7" s="1"/>
  <c r="R20" i="7" s="1"/>
  <c r="P17" i="10"/>
  <c r="G32" i="10"/>
  <c r="BH34" i="4"/>
  <c r="J32" i="10" s="1"/>
  <c r="P29" i="10" l="1"/>
  <c r="K29" i="10"/>
  <c r="R29" i="10" s="1"/>
  <c r="C32" i="7" s="1"/>
  <c r="R32" i="7" s="1"/>
  <c r="P42" i="10"/>
  <c r="K42" i="10"/>
  <c r="R42" i="10" s="1"/>
  <c r="C45" i="7" s="1"/>
  <c r="R45" i="7" s="1"/>
  <c r="K21" i="10"/>
  <c r="R21" i="10" s="1"/>
  <c r="C24" i="7" s="1"/>
  <c r="R24" i="7" s="1"/>
  <c r="P21" i="10"/>
  <c r="K38" i="10"/>
  <c r="R38" i="10" s="1"/>
  <c r="C41" i="7" s="1"/>
  <c r="R41" i="7" s="1"/>
  <c r="P38" i="10"/>
  <c r="P48" i="10"/>
  <c r="K48" i="10"/>
  <c r="R48" i="10" s="1"/>
  <c r="C51" i="7" s="1"/>
  <c r="R51" i="7" s="1"/>
  <c r="P49" i="10"/>
  <c r="K49" i="10"/>
  <c r="R49" i="10" s="1"/>
  <c r="C52" i="7" s="1"/>
  <c r="R52" i="7" s="1"/>
  <c r="K28" i="10"/>
  <c r="R28" i="10" s="1"/>
  <c r="C31" i="7" s="1"/>
  <c r="R31" i="7" s="1"/>
  <c r="P28" i="10"/>
  <c r="K41" i="10"/>
  <c r="R41" i="10" s="1"/>
  <c r="C44" i="7" s="1"/>
  <c r="R44" i="7" s="1"/>
  <c r="P19" i="10"/>
  <c r="P18" i="10"/>
  <c r="P46" i="10"/>
  <c r="K46" i="10"/>
  <c r="R46" i="10" s="1"/>
  <c r="C49" i="7" s="1"/>
  <c r="R49" i="7" s="1"/>
  <c r="K55" i="10"/>
  <c r="R55" i="10" s="1"/>
  <c r="C58" i="7" s="1"/>
  <c r="R58" i="7" s="1"/>
  <c r="P55" i="10"/>
  <c r="K52" i="10"/>
  <c r="R52" i="10" s="1"/>
  <c r="C55" i="7" s="1"/>
  <c r="R55" i="7" s="1"/>
  <c r="P52" i="10"/>
  <c r="P33" i="10"/>
  <c r="K33" i="10"/>
  <c r="R33" i="10" s="1"/>
  <c r="C36" i="7" s="1"/>
  <c r="R36" i="7" s="1"/>
  <c r="P45" i="10"/>
  <c r="K45" i="10"/>
  <c r="R45" i="10" s="1"/>
  <c r="C48" i="7" s="1"/>
  <c r="R48" i="7" s="1"/>
  <c r="K27" i="10"/>
  <c r="R27" i="10" s="1"/>
  <c r="C30" i="7" s="1"/>
  <c r="R30" i="7" s="1"/>
  <c r="P27" i="10"/>
  <c r="P50" i="10"/>
  <c r="K50" i="10"/>
  <c r="R50" i="10" s="1"/>
  <c r="C53" i="7" s="1"/>
  <c r="R53" i="7" s="1"/>
  <c r="P24" i="10"/>
  <c r="K24" i="10"/>
  <c r="R24" i="10" s="1"/>
  <c r="C27" i="7" s="1"/>
  <c r="R27" i="7" s="1"/>
  <c r="P47" i="10"/>
  <c r="K47" i="10"/>
  <c r="R47" i="10" s="1"/>
  <c r="C50" i="7" s="1"/>
  <c r="R50" i="7" s="1"/>
  <c r="P60" i="10"/>
  <c r="K60" i="10"/>
  <c r="R60" i="10" s="1"/>
  <c r="C63" i="7" s="1"/>
  <c r="R63" i="7" s="1"/>
  <c r="K39" i="10"/>
  <c r="R39" i="10" s="1"/>
  <c r="C42" i="7" s="1"/>
  <c r="R42" i="7" s="1"/>
  <c r="P39" i="10"/>
  <c r="K58" i="10"/>
  <c r="R58" i="10" s="1"/>
  <c r="C61" i="7" s="1"/>
  <c r="R61" i="7" s="1"/>
  <c r="P58" i="10"/>
  <c r="P37" i="10"/>
  <c r="K37" i="10"/>
  <c r="R37" i="10" s="1"/>
  <c r="C40" i="7" s="1"/>
  <c r="R40" i="7" s="1"/>
  <c r="P59" i="10"/>
  <c r="K59" i="10"/>
  <c r="R59" i="10" s="1"/>
  <c r="C62" i="7" s="1"/>
  <c r="R62" i="7" s="1"/>
  <c r="K34" i="10"/>
  <c r="R34" i="10" s="1"/>
  <c r="C37" i="7" s="1"/>
  <c r="R37" i="7" s="1"/>
  <c r="P34" i="10"/>
  <c r="P63" i="10"/>
  <c r="K63" i="10"/>
  <c r="R63" i="10" s="1"/>
  <c r="C66" i="7" s="1"/>
  <c r="R66" i="7" s="1"/>
  <c r="K62" i="10"/>
  <c r="R62" i="10" s="1"/>
  <c r="C65" i="7" s="1"/>
  <c r="R65" i="7" s="1"/>
  <c r="P61" i="10"/>
  <c r="G66" i="10"/>
  <c r="BH68" i="4"/>
  <c r="J66" i="10" s="1"/>
  <c r="BH67" i="4"/>
  <c r="J65" i="10" s="1"/>
  <c r="G65" i="10"/>
  <c r="K67" i="10"/>
  <c r="R67" i="10" s="1"/>
  <c r="C70" i="7" s="1"/>
  <c r="R70" i="7" s="1"/>
  <c r="G12" i="10"/>
  <c r="K12" i="10" s="1"/>
  <c r="R12" i="10" s="1"/>
  <c r="C15" i="7" s="1"/>
  <c r="R15" i="7" s="1"/>
  <c r="K68" i="10"/>
  <c r="R68" i="10" s="1"/>
  <c r="C71" i="7" s="1"/>
  <c r="R71" i="7" s="1"/>
  <c r="P68" i="10"/>
  <c r="K25" i="10"/>
  <c r="R25" i="10" s="1"/>
  <c r="C28" i="7" s="1"/>
  <c r="R28" i="7" s="1"/>
  <c r="K35" i="10"/>
  <c r="R35" i="10" s="1"/>
  <c r="C38" i="7" s="1"/>
  <c r="R38" i="7" s="1"/>
  <c r="K26" i="10"/>
  <c r="R26" i="10" s="1"/>
  <c r="C29" i="7" s="1"/>
  <c r="R29" i="7" s="1"/>
  <c r="K15" i="10"/>
  <c r="P40" i="10"/>
  <c r="K36" i="10"/>
  <c r="R36" i="10" s="1"/>
  <c r="C39" i="7" s="1"/>
  <c r="R39" i="7" s="1"/>
  <c r="P14" i="10"/>
  <c r="K69" i="10"/>
  <c r="R69" i="10" s="1"/>
  <c r="C72" i="7" s="1"/>
  <c r="R72" i="7" s="1"/>
  <c r="K43" i="10"/>
  <c r="R43" i="10" s="1"/>
  <c r="C46" i="7" s="1"/>
  <c r="R46" i="7" s="1"/>
  <c r="P20" i="10"/>
  <c r="K20" i="10"/>
  <c r="R20" i="10" s="1"/>
  <c r="C23" i="7" s="1"/>
  <c r="R23" i="7" s="1"/>
  <c r="K56" i="10"/>
  <c r="R56" i="10" s="1"/>
  <c r="C59" i="7" s="1"/>
  <c r="R59" i="7" s="1"/>
  <c r="P56" i="10"/>
  <c r="P22" i="10"/>
  <c r="K22" i="10"/>
  <c r="R22" i="10" s="1"/>
  <c r="C25" i="7" s="1"/>
  <c r="R25" i="7" s="1"/>
  <c r="P57" i="10"/>
  <c r="K57" i="10"/>
  <c r="R57" i="10" s="1"/>
  <c r="C60" i="7" s="1"/>
  <c r="R60" i="7" s="1"/>
  <c r="P54" i="10"/>
  <c r="K54" i="10"/>
  <c r="R54" i="10" s="1"/>
  <c r="C57" i="7" s="1"/>
  <c r="R57" i="7" s="1"/>
  <c r="P53" i="10"/>
  <c r="K53" i="10"/>
  <c r="R53" i="10" s="1"/>
  <c r="C56" i="7" s="1"/>
  <c r="R56" i="7" s="1"/>
  <c r="K51" i="10"/>
  <c r="R51" i="10" s="1"/>
  <c r="C54" i="7" s="1"/>
  <c r="R54" i="7" s="1"/>
  <c r="P51" i="10"/>
  <c r="P44" i="10"/>
  <c r="K44" i="10"/>
  <c r="R44" i="10" s="1"/>
  <c r="C47" i="7" s="1"/>
  <c r="R47" i="7" s="1"/>
  <c r="P30" i="10"/>
  <c r="K30" i="10"/>
  <c r="R30" i="10" s="1"/>
  <c r="C33" i="7" s="1"/>
  <c r="R33" i="7" s="1"/>
  <c r="K23" i="10"/>
  <c r="R23" i="10" s="1"/>
  <c r="C26" i="7" s="1"/>
  <c r="R26" i="7" s="1"/>
  <c r="P23" i="10"/>
  <c r="K32" i="10"/>
  <c r="R32" i="10" s="1"/>
  <c r="C35" i="7" s="1"/>
  <c r="R35" i="7" s="1"/>
  <c r="P32" i="10"/>
  <c r="P31" i="10"/>
  <c r="K31" i="10"/>
  <c r="R31" i="10" s="1"/>
  <c r="C34" i="7" s="1"/>
  <c r="R34" i="7" s="1"/>
  <c r="K66" i="10" l="1"/>
  <c r="R66" i="10" s="1"/>
  <c r="C69" i="7" s="1"/>
  <c r="R69" i="7" s="1"/>
  <c r="P66" i="10"/>
  <c r="P65" i="10"/>
  <c r="K65" i="10"/>
  <c r="R65" i="10" s="1"/>
  <c r="C68" i="7" s="1"/>
  <c r="R68" i="7" s="1"/>
  <c r="R15" i="10"/>
  <c r="C18" i="7" s="1"/>
  <c r="R18" i="7" s="1"/>
  <c r="P67" i="10"/>
  <c r="P12" i="10"/>
</calcChain>
</file>

<file path=xl/comments1.xml><?xml version="1.0" encoding="utf-8"?>
<comments xmlns="http://schemas.openxmlformats.org/spreadsheetml/2006/main">
  <authors>
    <author>Mónica Paola</author>
    <author xml:space="preserve"> 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INGRESOS TRIBUTARIOS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INGRESOS TRIBUTARIOS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INGRESOS TRIBUTARIOS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INGRESOS TRIBUTARIOS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INCLUYE EN 1999, IMPUESTO A LA CIRCULACIÓN DE K. y a las aoperaciones de credito entre 1998-2000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copio de la base original en "trimestral". Antes de copiar hay que hacer la suma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Pueod copiar o hacer la suma de todo lo anterior.
Los ingresos no petroelros son la suma de los ingresos tributarios, no tributarios y transferencias </t>
        </r>
      </text>
    </comment>
    <comment ref="K3" authorId="1" shapeId="0">
      <text>
        <r>
          <rPr>
            <b/>
            <sz val="8"/>
            <color indexed="81"/>
            <rFont val="Tahoma"/>
            <family val="2"/>
          </rPr>
          <t xml:space="preserve">sebastián:
Copiar los datos de la cuenta trimestral general
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 xml:space="preserve">sebastián:
</t>
        </r>
        <r>
          <rPr>
            <sz val="9"/>
            <color indexed="81"/>
            <rFont val="Tahoma"/>
            <family val="2"/>
          </rPr>
          <t xml:space="preserve">Copiar los datos de la cuenta trimestral general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Roxy Poxy</author>
    <author>arqjhl</author>
    <author>PADILLA, SEBASTIÁN (PASANTE)</author>
  </authors>
  <commentList>
    <comment ref="K2" authorId="0" shapeId="0">
      <text>
        <r>
          <rPr>
            <b/>
            <sz val="8"/>
            <color indexed="81"/>
            <rFont val="Tahoma"/>
            <family val="2"/>
          </rPr>
          <t xml:space="preserve">PIB (real) Tendencial o Potencial
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</rPr>
          <t>PIB (reall)
anualizado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</rPr>
          <t>k/L</t>
        </r>
      </text>
    </comment>
    <comment ref="BB2" authorId="1" shapeId="0">
      <text>
        <r>
          <rPr>
            <b/>
            <sz val="9"/>
            <color indexed="81"/>
            <rFont val="Tahoma"/>
            <family val="2"/>
          </rPr>
          <t>Roxy Poxy:</t>
        </r>
        <r>
          <rPr>
            <sz val="9"/>
            <color indexed="81"/>
            <rFont val="Tahoma"/>
            <family val="2"/>
          </rPr>
          <t xml:space="preserve">
es el ingreso tributario anualizado entonces??</t>
        </r>
      </text>
    </comment>
    <comment ref="O68" authorId="2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se copio el del anterior porque la variación del PIB fue muy pequeña, lo que hacia que los ingresos estrcturales sean muy pequeños: IVA, RENTA</t>
        </r>
      </text>
    </comment>
    <comment ref="O74" authorId="3" shapeId="0">
      <text>
        <r>
          <rPr>
            <b/>
            <sz val="9"/>
            <color indexed="81"/>
            <rFont val="Tahoma"/>
            <family val="2"/>
          </rPr>
          <t>PADILLA, SEBASTIÁN (PASANTE):</t>
        </r>
        <r>
          <rPr>
            <sz val="9"/>
            <color indexed="81"/>
            <rFont val="Tahoma"/>
            <family val="2"/>
          </rPr>
          <t xml:space="preserve">
En este trimestre la variación del PIB Nominal fue de -0.0004 debido a un estancamietno del crecimiento, lo cual hace que la elasticidad sea muy grande y ésta es exponente en el cálculo de los ingresos y gastos estrcuturales el resultado explota y es irreal. Se intentó crear una regla en la columna para no volver a tener el problema y así se probaron dos tipos de solución conjunta para ingresos y gastos estructurales, 1) copiando la varación anterior y 2) obtreniendo un PIB Nominal promedio entre 2016Q2 Y 2016Q4. 
Sin embargo ninguna de las soluciones funcionó para los dos casos debido a 2 circunstancias que afectaron los ingresos y gastos en este trimetre en particular, 1) El aumento de ingresos tributarios referentes a "vehículos y otros" por la Ley de Solidaridad acrode a los trabajos de reconstrucción por el terremoto y 2) Aumento en 1000 millones del gasto de FBKF. 
Entonces, la solución para el caso del cálcuo de los ingresos estructurales fue copiar la variación anterior (-0.005), suponiendo una variación del PIB cercana al CERO pero con signo negativo y la solución para el caso del cálculo de los gastos estructurales fue obtener una variación al promediar los valores del PIB de 2016Q2 y 2016Q4 (0.003) suponiendo una variación del PIB cercana al CERO pero con signo positivo. Con estas soluciones el Indicador de Blanchard pasa de   -908.3% a 5.7%.</t>
        </r>
      </text>
    </comment>
  </commentList>
</comments>
</file>

<file path=xl/comments3.xml><?xml version="1.0" encoding="utf-8"?>
<comments xmlns="http://schemas.openxmlformats.org/spreadsheetml/2006/main">
  <authors>
    <author>Lizeth Yanchapaxi</author>
  </authors>
  <commentList>
    <comment ref="A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D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G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J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M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P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S60" authorId="0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  <author>Lizeth Yanchapaxi</author>
    <author>PADILLA, SEBASTIÁN (PASANTE)</author>
  </authors>
  <commentList>
    <comment ref="B2" authorId="0" shapeId="0">
      <text>
        <r>
          <rPr>
            <b/>
            <sz val="8"/>
            <color indexed="81"/>
            <rFont val="Tahoma"/>
            <family val="2"/>
          </rPr>
          <t xml:space="preserve">PIB (Real) Tendencial o Potencial
Copio de la pestaña 2
</t>
        </r>
      </text>
    </comment>
    <comment ref="C2" authorId="0" shapeId="0">
      <text>
        <r>
          <rPr>
            <b/>
            <sz val="8"/>
            <color indexed="81"/>
            <rFont val="Tahoma"/>
            <family val="2"/>
          </rPr>
          <t>PIB (Real) Efectivo del Período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</rPr>
          <t>M/N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</rPr>
          <t>(PIB Nominal 2000- PIB 1999)/ (PIB Nominal 1999)</t>
        </r>
      </text>
    </comment>
    <comment ref="BH3" authorId="0" shapeId="0">
      <text>
        <r>
          <rPr>
            <b/>
            <sz val="8"/>
            <color indexed="81"/>
            <rFont val="Tahoma"/>
            <family val="2"/>
          </rPr>
          <t xml:space="preserve">gasto estructural - intereses
</t>
        </r>
      </text>
    </comment>
    <comment ref="A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H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N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T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Z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AF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AL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AR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AY57" authorId="1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F75" authorId="2" shapeId="0">
      <text>
        <r>
          <rPr>
            <b/>
            <sz val="9"/>
            <color indexed="81"/>
            <rFont val="Tahoma"/>
            <family val="2"/>
          </rPr>
          <t xml:space="preserve">PADILLA, SEBASTIÁN (PASANTE):
</t>
        </r>
        <r>
          <rPr>
            <sz val="9"/>
            <color indexed="81"/>
            <rFont val="Tahoma"/>
            <family val="2"/>
          </rPr>
          <t xml:space="preserve">En este trimestre la variación del PIB Nominal fue de -0.0004 debido a un estancamietno del crecimiento, lo cual hace que la elasticidad sea muy grande y ésta es exponente en el cálculo de los ingresos y gastos estrcuturales el resultado explota y es irreal. Se intentó crear una regla en la columna para no volver a tener el problema y así se probaron dos tipos de solución conjunta para ingresos y gastos estructurales, 1) copiando la varación anterior y 2) obtreniendo un PIB Nominal promedio entre 2016Q2 Y 2016Q4. 
Sin embargo ninguna de las soluciones funcionó para los dos casos debido a 2 circunstancias que afectaron los ingresos y gastos en este trimetre en particular, 1) El aumento de ingresos tributarios referentes a "vehículos y otros" por la Ley de Solidaridad acrode a los trabajos de reconstrucción por el terremoto y 2) Aumento en 1000 millones del gasto de FBKF. 
Entonces, la solución para el caso del cálcuo de los ingresos estructurales fue copiar la variación anterior (-0.005), suponiendo una variación del PIB cercana al CERO pero con signo negativo y la solución para el caso del cálculo de los gastos estructurales fue obtener una variación al promediar los valores del PIB de 2016Q2 y 2016Q4 (0.003) suponiendo una variación del PIB cercana al CERO pero con signo positivo. Con estas soluciones el Indicador de Blanchard pasa de   -908.3% a 5.7%.
</t>
        </r>
      </text>
    </comment>
  </commentList>
</comments>
</file>

<file path=xl/comments5.xml><?xml version="1.0" encoding="utf-8"?>
<comments xmlns="http://schemas.openxmlformats.org/spreadsheetml/2006/main">
  <authors>
    <author>PADILLA, ANGEL (PASANTE)</author>
    <author>Pablo Andrés</author>
    <author>Lizeth Yanchapaxi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PADILLA,Sebastián  (PASANTE):</t>
        </r>
        <r>
          <rPr>
            <sz val="9"/>
            <color indexed="81"/>
            <rFont val="Tahoma"/>
            <family val="2"/>
          </rPr>
          <t xml:space="preserve">
Trimestral fila 109</t>
        </r>
      </text>
    </comment>
    <comment ref="E1" authorId="1" shapeId="0">
      <text>
        <r>
          <rPr>
            <b/>
            <sz val="9"/>
            <color indexed="81"/>
            <rFont val="Tahoma"/>
            <family val="2"/>
          </rPr>
          <t xml:space="preserve">PADILLA,Sebastián  (PASANTE):
</t>
        </r>
        <r>
          <rPr>
            <sz val="9"/>
            <color indexed="81"/>
            <rFont val="Tahoma"/>
            <family val="2"/>
          </rPr>
          <t>Trimestral fila 113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 xml:space="preserve">PADILLA,Sebastián  (PASANTE):
</t>
        </r>
        <r>
          <rPr>
            <sz val="9"/>
            <color indexed="81"/>
            <rFont val="Tahoma"/>
            <family val="2"/>
          </rPr>
          <t>Trimestral fila 110</t>
        </r>
      </text>
    </comment>
    <comment ref="A53" authorId="2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</commentList>
</comments>
</file>

<file path=xl/comments6.xml><?xml version="1.0" encoding="utf-8"?>
<comments xmlns="http://schemas.openxmlformats.org/spreadsheetml/2006/main">
  <authors>
    <author>Your User Name</author>
    <author>Pablo Andrés</author>
    <author>VAIO</author>
    <author>Mónica Paola</author>
    <author>Lizeth Yanchapaxi</author>
  </authors>
  <commentList>
    <comment ref="E2" authorId="0" shapeId="0">
      <text>
        <r>
          <rPr>
            <b/>
            <sz val="8"/>
            <color indexed="81"/>
            <rFont val="Tahoma"/>
            <family val="2"/>
          </rPr>
          <t>Total ingresos estructurales</t>
        </r>
      </text>
    </comment>
    <comment ref="F2" authorId="1" shapeId="0">
      <text>
        <r>
          <rPr>
            <b/>
            <sz val="9"/>
            <color indexed="81"/>
            <rFont val="Tahoma"/>
            <family val="2"/>
          </rPr>
          <t>Pablo Andrés:</t>
        </r>
        <r>
          <rPr>
            <sz val="9"/>
            <color indexed="81"/>
            <rFont val="Tahoma"/>
            <family val="2"/>
          </rPr>
          <t xml:space="preserve">
de la pestaña gasto estructural. Es la suma de todos los estructurales sacados con la formula.
Corrientes y de capital</t>
        </r>
      </text>
    </comment>
    <comment ref="G2" authorId="1" shapeId="0">
      <text>
        <r>
          <rPr>
            <b/>
            <sz val="9"/>
            <color indexed="81"/>
            <rFont val="Tahoma"/>
            <family val="2"/>
          </rPr>
          <t>Paola:</t>
        </r>
        <r>
          <rPr>
            <sz val="9"/>
            <color indexed="81"/>
            <rFont val="Tahoma"/>
            <family val="2"/>
          </rPr>
          <t xml:space="preserve">
ingresos estructurales (petroelros y no petroleros) - gastos estructurales (corrintes y de k)</t>
        </r>
      </text>
    </comment>
    <comment ref="H2" authorId="2" shapeId="0">
      <text>
        <r>
          <rPr>
            <b/>
            <sz val="9"/>
            <color indexed="81"/>
            <rFont val="Tahoma"/>
            <family val="2"/>
          </rPr>
          <t>Sebastián:</t>
        </r>
        <r>
          <rPr>
            <sz val="9"/>
            <color indexed="81"/>
            <rFont val="Tahoma"/>
            <family val="2"/>
          </rPr>
          <t xml:space="preserve">
Resultado global, en base de datos trimestral
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</rPr>
          <t>Your User Name:</t>
        </r>
        <r>
          <rPr>
            <sz val="8"/>
            <color indexed="81"/>
            <rFont val="Tahoma"/>
            <family val="2"/>
          </rPr>
          <t xml:space="preserve">
Ingresos Totales estructurales menos gastos estructurales excluyendo intereses.
Se toma en cuneta los interese estructurales (tomando en ciuenta elastividades)</t>
        </r>
      </text>
    </comment>
    <comment ref="L2" authorId="3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resultado global + intreses obsrvados
</t>
        </r>
      </text>
    </comment>
    <comment ref="B55" authorId="4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  <comment ref="C69" authorId="1" shapeId="0">
      <text>
        <r>
          <rPr>
            <b/>
            <sz val="9"/>
            <color indexed="81"/>
            <rFont val="Tahoma"/>
            <family val="2"/>
          </rPr>
          <t>Pablo Andrés:</t>
        </r>
        <r>
          <rPr>
            <sz val="9"/>
            <color indexed="81"/>
            <rFont val="Tahoma"/>
            <family val="2"/>
          </rPr>
          <t xml:space="preserve">
SI SALE MUY ALTO, CHEQUEAR PIB NOMINAL</t>
        </r>
      </text>
    </comment>
  </commentList>
</comments>
</file>

<file path=xl/comments7.xml><?xml version="1.0" encoding="utf-8"?>
<comments xmlns="http://schemas.openxmlformats.org/spreadsheetml/2006/main">
  <authors>
    <author>BETSABE</author>
    <author>Mónica Paola</author>
    <author>Lizeth Yanchapaxi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BETSABE:</t>
        </r>
        <r>
          <rPr>
            <sz val="9"/>
            <color indexed="81"/>
            <rFont val="Tahoma"/>
            <family val="2"/>
          </rPr>
          <t xml:space="preserve">
INEC: Serie histórica IPC</t>
        </r>
      </text>
    </comment>
    <comment ref="F1" authorId="1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saco del INEC. "ipc trimestral ecuador" el 1 link. Es un pdf
o
IPC 2015 en el INEC. En el último mes actualizado en "Presentación inflación"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BETSABE:</t>
        </r>
        <r>
          <rPr>
            <sz val="9"/>
            <color indexed="81"/>
            <rFont val="Tahoma"/>
            <family val="2"/>
          </rPr>
          <t xml:space="preserve">
Cualquier pagina de internet
</t>
        </r>
      </text>
    </comment>
    <comment ref="A58" authorId="2" shapeId="0">
      <text>
        <r>
          <rPr>
            <b/>
            <sz val="8"/>
            <color indexed="81"/>
            <rFont val="Tahoma"/>
            <family val="2"/>
          </rPr>
          <t>Lizeth Yanchapaxi:</t>
        </r>
        <r>
          <rPr>
            <sz val="8"/>
            <color indexed="81"/>
            <rFont val="Tahoma"/>
            <family val="2"/>
          </rPr>
          <t xml:space="preserve">
Revisar los datos del 2012 con respecto al BCE porque cambian de forma constante
</t>
        </r>
      </text>
    </comment>
  </commentList>
</comments>
</file>

<file path=xl/comments8.xml><?xml version="1.0" encoding="utf-8"?>
<comments xmlns="http://schemas.openxmlformats.org/spreadsheetml/2006/main">
  <authors>
    <author>Ana</author>
    <author>Vane!</author>
    <author>Pablo Andrés</author>
    <author>Mónica Paola</author>
    <author>arqjhl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Interes internos, gastos corrientes anualizados
fila 103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1" shapeId="0">
      <text>
        <r>
          <rPr>
            <b/>
            <sz val="8"/>
            <color indexed="81"/>
            <rFont val="Tahoma"/>
            <family val="2"/>
          </rPr>
          <t>Intereses deuda interna/stock deuda interna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Dato obtenido base fiscal
fila 102</t>
        </r>
      </text>
    </comment>
    <comment ref="L4" authorId="2" shapeId="0">
      <text>
        <r>
          <rPr>
            <b/>
            <sz val="9"/>
            <color indexed="81"/>
            <rFont val="Tahoma"/>
            <family val="2"/>
          </rPr>
          <t>Pablo Andrés:</t>
        </r>
        <r>
          <rPr>
            <sz val="9"/>
            <color indexed="81"/>
            <rFont val="Tahoma"/>
            <family val="2"/>
          </rPr>
          <t xml:space="preserve">
DE LO QUE COMPLETE EN LA ANTERIOR PESTAÑA, CO0N EL DATO DE LA RAFA
</t>
        </r>
      </text>
    </comment>
    <comment ref="M4" authorId="3" shapeId="0">
      <text>
        <r>
          <rPr>
            <b/>
            <sz val="9"/>
            <color indexed="81"/>
            <rFont val="Tahoma"/>
            <family val="2"/>
          </rPr>
          <t>Mónica Paola:</t>
        </r>
        <r>
          <rPr>
            <sz val="9"/>
            <color indexed="81"/>
            <rFont val="Tahoma"/>
            <family val="2"/>
          </rPr>
          <t xml:space="preserve">
hago el tendencial de la columna de la izqr</t>
        </r>
      </text>
    </comment>
    <comment ref="R13" authorId="4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por contraccion de la deuda, RP ligermanete positivo, crec positivo del pib tributario y tasa de interes real negativa. Tasa de interes neg implica que el pago de interes se reduce en terminos de poder adquisitivo, lo que beneficia al deudor!! </t>
        </r>
      </text>
    </comment>
    <comment ref="R26" authorId="4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tasa de interes real es mayor a la tasa de crec del PIB tributario</t>
        </r>
      </text>
    </comment>
    <comment ref="R27" authorId="4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baja la tasa de inetres real y sube la de crecimiento que le supera. Pese al mismo resultado primario, el IB mejora</t>
        </r>
      </text>
    </comment>
    <comment ref="R47" authorId="4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mayor la tasa de interes!! El RP tambien es alto, por eso crece el IB</t>
        </r>
      </text>
    </comment>
    <comment ref="R77" authorId="4" shapeId="0">
      <text>
        <r>
          <rPr>
            <b/>
            <sz val="9"/>
            <color indexed="81"/>
            <rFont val="Tahoma"/>
            <family val="2"/>
          </rPr>
          <t>arqjhl:</t>
        </r>
        <r>
          <rPr>
            <sz val="9"/>
            <color indexed="81"/>
            <rFont val="Tahoma"/>
            <family val="2"/>
          </rPr>
          <t xml:space="preserve">
ingresos se contraen en medio millon  y gasto aumento en casi mil millones </t>
        </r>
      </text>
    </comment>
  </commentList>
</comments>
</file>

<file path=xl/comments9.xml><?xml version="1.0" encoding="utf-8"?>
<comments xmlns="http://schemas.openxmlformats.org/spreadsheetml/2006/main">
  <authors>
    <author>Ana</author>
    <author>Vane!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Interes internos, gastos corrientes anualizados
fila 103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1" shapeId="0">
      <text>
        <r>
          <rPr>
            <b/>
            <sz val="8"/>
            <color indexed="81"/>
            <rFont val="Tahoma"/>
            <family val="2"/>
          </rPr>
          <t>Intereses deuda interna/stock deuda interna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Dato obtenido base fiscal
fila 102</t>
        </r>
      </text>
    </comment>
  </commentList>
</comments>
</file>

<file path=xl/sharedStrings.xml><?xml version="1.0" encoding="utf-8"?>
<sst xmlns="http://schemas.openxmlformats.org/spreadsheetml/2006/main" count="2990" uniqueCount="259">
  <si>
    <t>2000Q1</t>
  </si>
  <si>
    <t>2000Q3</t>
  </si>
  <si>
    <t>2000Q4</t>
  </si>
  <si>
    <t>2001Q1</t>
  </si>
  <si>
    <t>2001Q2</t>
  </si>
  <si>
    <t>2001Q3</t>
  </si>
  <si>
    <t>2000Q2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</si>
  <si>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</si>
  <si>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</si>
  <si>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</si>
  <si>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</si>
  <si>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</si>
  <si>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</si>
  <si>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</si>
  <si>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</si>
  <si>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</si>
  <si>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</si>
  <si>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</si>
  <si>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</si>
  <si>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</si>
  <si>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</si>
  <si>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</si>
  <si>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</si>
  <si>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</si>
  <si>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</si>
  <si>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</si>
  <si>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</si>
  <si>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</si>
  <si>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</si>
  <si>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</si>
  <si>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</si>
  <si>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</si>
  <si>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</si>
  <si>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</si>
  <si>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</si>
  <si>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</si>
  <si>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</si>
  <si>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</si>
  <si>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</si>
  <si>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</si>
  <si>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</si>
  <si>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</si>
  <si>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</si>
  <si>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</si>
  <si>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</si>
  <si>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</si>
  <si>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</si>
  <si>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</si>
  <si>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 Q1</t>
  </si>
  <si>
    <t>2012Q2</t>
  </si>
  <si>
    <t>2012 Q3</t>
  </si>
  <si>
    <t>2012 Q4</t>
  </si>
  <si>
    <t>Trimestre</t>
  </si>
  <si>
    <t>Trimestre anualizado</t>
  </si>
  <si>
    <t xml:space="preserve">Ingreso Estructural No Petrolero </t>
  </si>
  <si>
    <t>IVA obs</t>
  </si>
  <si>
    <t>ICE obs</t>
  </si>
  <si>
    <t>Renta obs</t>
  </si>
  <si>
    <t>Al comercio y transacciones internacionales obs</t>
  </si>
  <si>
    <t>No tributarios + Transferencias obs</t>
  </si>
  <si>
    <t>Datos que utilizaremos en el cálculo de todos los ingresos no petroleros estructurales (y gastos estructurales)</t>
  </si>
  <si>
    <t>Y*</t>
  </si>
  <si>
    <r>
      <t>Y</t>
    </r>
    <r>
      <rPr>
        <vertAlign val="subscript"/>
        <sz val="9"/>
        <color indexed="8"/>
        <rFont val="Arial"/>
        <family val="2"/>
      </rPr>
      <t>t</t>
    </r>
  </si>
  <si>
    <t>PIB             Nominal  USD Millones</t>
  </si>
  <si>
    <t>Ing. Estructural</t>
  </si>
  <si>
    <t xml:space="preserve">Trimestre </t>
  </si>
  <si>
    <t>INGRESOS ESTRUCTURALES POR ICE</t>
  </si>
  <si>
    <t>Ingresos ICE  GC                  $Mn.</t>
  </si>
  <si>
    <t>INGRESOS ESTRUCTURALES POR IMPUESTO A LA RENTA</t>
  </si>
  <si>
    <t>Ingresos IR  GC                  $Mn.</t>
  </si>
  <si>
    <t>INGRESOS ESTRUCTURALES AL COMERCIO Y TRANSACCIONES INTERNACIONALES</t>
  </si>
  <si>
    <t>Ingresos CI GC                  $Mn.</t>
  </si>
  <si>
    <t>INGRESOS ESTRUCTURALES  VEHICULOS + OTROS</t>
  </si>
  <si>
    <t>Ingresos VEHI GC                  $Mn.</t>
  </si>
  <si>
    <t>INGRESOS ESTRUCTURALES COMERCIO NO TRIBUTARIOS + TRANSFERENCIAS</t>
  </si>
  <si>
    <t>Ingresos NO TRIB. GC                  $Mn.</t>
  </si>
  <si>
    <t>Y NO PETROLERO OBSERVADO</t>
  </si>
  <si>
    <t>Intereses</t>
  </si>
  <si>
    <t>Sueldos</t>
  </si>
  <si>
    <t>FBKF</t>
  </si>
  <si>
    <t>Transferencias y Otros</t>
  </si>
  <si>
    <t>Gasto Estructural</t>
  </si>
  <si>
    <t xml:space="preserve">Gasto Estructural excluyendo intereses </t>
  </si>
  <si>
    <t>Datos que utilizaremos en el cálculo de todos los gastos estructurales</t>
  </si>
  <si>
    <t>GASTOS CORRIENTES</t>
  </si>
  <si>
    <t>GASTOS DE CAPITAL</t>
  </si>
  <si>
    <t>GASTOS ESTRUCTURALES: SUELDOS</t>
  </si>
  <si>
    <t>GASTOS ESTRUCTURALES: COMPRA DE BIENES Y SERVICIOS</t>
  </si>
  <si>
    <t>GASTOS ESTRUCTURALES: OTROS Y TRANSFERENCIAS CORRIENTES</t>
  </si>
  <si>
    <t>GASTOS ESTRUCTURALES: FORMACIÓN BRUTA DE CAPITAL FIJO</t>
  </si>
  <si>
    <t>GASTOS ESTRUCTURALES: TRANSFERENCIAS Y OTROS</t>
  </si>
  <si>
    <t>Gasto observado</t>
  </si>
  <si>
    <t>ε</t>
  </si>
  <si>
    <t>Otros y transferencias corrientes</t>
  </si>
  <si>
    <t>Compra de bienes y servicios</t>
  </si>
  <si>
    <t>GASTO TOTAL OBSERVADO</t>
  </si>
  <si>
    <t>GASTO TOTAL</t>
  </si>
  <si>
    <t>PIB Nominal</t>
  </si>
  <si>
    <t>Balance Estructural Primario (% del PIB Nominal)</t>
  </si>
  <si>
    <t xml:space="preserve">Stock Deuda INTERNA del GC </t>
  </si>
  <si>
    <t>Tasa de Interés Nominal implícita de la Deuda Interna del GC</t>
  </si>
  <si>
    <t xml:space="preserve">Stock Deuda EXTERNA del GC </t>
  </si>
  <si>
    <t>Tasa de Interés Nominal implícita de la Deuda Externa del GC</t>
  </si>
  <si>
    <t>Tasa de Interés real de la deuda del GC</t>
  </si>
  <si>
    <t>(US$ Millones)</t>
  </si>
  <si>
    <t>%</t>
  </si>
  <si>
    <t>IPC</t>
  </si>
  <si>
    <t>INGRESO NO PETROLERO ESTRUCTURAL</t>
  </si>
  <si>
    <t>TOTAL INGRESOS ESTRUCTURALES</t>
  </si>
  <si>
    <t>GASTO ESTRUCTURAL</t>
  </si>
  <si>
    <t>BALANCE ESTRUCTURAL</t>
  </si>
  <si>
    <t>RESULTADO GLOBAL OBSERVADO DEL GC</t>
  </si>
  <si>
    <t>GASTO ESTRUCTURAL EXCLUIDO INTERESES</t>
  </si>
  <si>
    <t>BALANCE ESTRUCTURAL PRIMARIO</t>
  </si>
  <si>
    <t>RP Observado (en USD Millones)</t>
  </si>
  <si>
    <t>RP Observado (% del PIB)</t>
  </si>
  <si>
    <t>Inflación trimestral USA</t>
  </si>
  <si>
    <t>Inflación Estados Unidos</t>
  </si>
  <si>
    <t>Inflación Ecuador</t>
  </si>
  <si>
    <t>IPC mensual USA</t>
  </si>
  <si>
    <t>IPC trimestral USA</t>
  </si>
  <si>
    <t>Millones de dólares</t>
  </si>
  <si>
    <t xml:space="preserve">Indicador de Blanchard </t>
  </si>
  <si>
    <t>Gasto corriente estructural</t>
  </si>
  <si>
    <t>Gasto Corriente observado</t>
  </si>
  <si>
    <t>Gasto de k estructural</t>
  </si>
  <si>
    <t>Gastok observado</t>
  </si>
  <si>
    <t>2013 Q1</t>
  </si>
  <si>
    <t>2012Q1</t>
  </si>
  <si>
    <t xml:space="preserve">Hice una tabla de resumen de las variables estructurales para sacar el Ingreso Noil Estructural de la suma de los otras variables. </t>
  </si>
  <si>
    <t>2013 Q2</t>
  </si>
  <si>
    <t>RP Estructural (% del PIB)</t>
  </si>
  <si>
    <t>Amortización total ANUALIZADO</t>
  </si>
  <si>
    <t xml:space="preserve">Amortización total </t>
  </si>
  <si>
    <t>Intereses Deuda Interna GC Anualizados</t>
  </si>
  <si>
    <t>Intereses Deuda Externa del GC Anualizado</t>
  </si>
  <si>
    <t xml:space="preserve">RG GC OBSERVADO ANUALIZADO </t>
  </si>
  <si>
    <t>2013 Q3</t>
  </si>
  <si>
    <t>2013 Q4</t>
  </si>
  <si>
    <t>2014 Q2</t>
  </si>
  <si>
    <t>2014 Q1</t>
  </si>
  <si>
    <t>2014 Q3</t>
  </si>
  <si>
    <t>2014 Q4</t>
  </si>
  <si>
    <t>2015 Q2</t>
  </si>
  <si>
    <t>2015Q1</t>
  </si>
  <si>
    <t>2015 Q1</t>
  </si>
  <si>
    <t>Y No oil Observado GC</t>
  </si>
  <si>
    <t>2015Q2</t>
  </si>
  <si>
    <t>2015Q3</t>
  </si>
  <si>
    <t>2015Q4</t>
  </si>
  <si>
    <t>2016Q1</t>
  </si>
  <si>
    <t>2016Q2</t>
  </si>
  <si>
    <t>2016Q3</t>
  </si>
  <si>
    <t>2016Q4</t>
  </si>
  <si>
    <t>TABLA RESUMEN: INGRESOS ESTRUCTURALES NO PETROLEROS GC</t>
  </si>
  <si>
    <t>Vehículos + otros</t>
  </si>
  <si>
    <t xml:space="preserve">Intereses (gasto corriente del GC) </t>
  </si>
  <si>
    <t>GASTOS ESTRUCTURALES: INTERESES (anualizados)</t>
  </si>
  <si>
    <t>PIB Nominal  USD Millones (anualizado)</t>
  </si>
  <si>
    <t>RG Estructural (balance estruc) (% del PIB)</t>
  </si>
  <si>
    <t>Promedio</t>
  </si>
  <si>
    <t>PIB             Nominal  USD Millones (anualizado)</t>
  </si>
  <si>
    <t>Gasto Observado (el de la 1ra columna de las otras tablas de la derecha)</t>
  </si>
  <si>
    <t>STOCK DEUDA EXTERNA GC</t>
  </si>
  <si>
    <t>STOCK DEUDA INTERNA GC</t>
  </si>
  <si>
    <t>inflacion ANUAL ecuador</t>
  </si>
  <si>
    <t>http://contenido.bce.fin.ec/resumen_ticker.php?ticker_value=inflacion</t>
  </si>
  <si>
    <t>http://tematicas.org/indicadores-economicos/economia-internacional/precios/ipc-estados-unidos/</t>
  </si>
  <si>
    <t>DE TABLA TRIMESTRAL</t>
  </si>
  <si>
    <t>RG Observado (% del PIB nominal anualizado)</t>
  </si>
  <si>
    <t>2017Q1</t>
  </si>
  <si>
    <t>Inflación trimestral Ecuador</t>
  </si>
  <si>
    <t>2017Q2</t>
  </si>
  <si>
    <r>
      <t>Y</t>
    </r>
    <r>
      <rPr>
        <vertAlign val="subscript"/>
        <sz val="11"/>
        <color indexed="8"/>
        <rFont val="Arial"/>
        <family val="2"/>
      </rPr>
      <t>t</t>
    </r>
  </si>
  <si>
    <t>2017Q3</t>
  </si>
  <si>
    <t xml:space="preserve">CÁLCULO INGRESO NO PETROLERO </t>
  </si>
  <si>
    <t xml:space="preserve">PROYECCIÓN </t>
  </si>
  <si>
    <t>Amortizaciones totales</t>
  </si>
  <si>
    <t>** ANTES DE ACTUALIZAR O MODIFICAR CIFRAS DEL PIB NOMINAL PRELIMINARES A 2016 REVISAR EL COMENTARIO DE LA CELDA O65 (VARIACIÓN DEL PIB 2016Q3)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</si>
  <si>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</si>
  <si>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</si>
  <si>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</si>
  <si>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</si>
  <si>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</si>
  <si>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</si>
  <si>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</si>
  <si>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</si>
  <si>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</si>
  <si>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</si>
  <si>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Trimestral NO ANUALIZADO</t>
  </si>
  <si>
    <t>2017Q4</t>
  </si>
  <si>
    <t>con ingresos petroleros, lo real</t>
  </si>
  <si>
    <t>PIB tributario (real) ANUALIZADO</t>
  </si>
  <si>
    <t>IBT con pib no petrolero</t>
  </si>
  <si>
    <r>
      <t>Y</t>
    </r>
    <r>
      <rPr>
        <vertAlign val="subscript"/>
        <sz val="9"/>
        <color indexed="8"/>
        <rFont val="Arial"/>
        <family val="2"/>
      </rPr>
      <t>t real</t>
    </r>
  </si>
  <si>
    <t>PIB tributario real Potencial (Filtro Hodrick-Prescott)</t>
  </si>
  <si>
    <t>Tasa de crecimiento PIB tributario Potencial</t>
  </si>
  <si>
    <t>IB de la brecha prmaria</t>
  </si>
  <si>
    <t>INGRESO PETROLERO ESTRUCTURAL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</si>
  <si>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</si>
  <si>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</si>
  <si>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</si>
  <si>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</si>
  <si>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</si>
  <si>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</si>
  <si>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</si>
  <si>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</si>
  <si>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200Q1</t>
  </si>
  <si>
    <t>200Q2</t>
  </si>
  <si>
    <t xml:space="preserve">Stock Deuda TOTAL del GC </t>
  </si>
  <si>
    <t>INGRESOS TRIBUTARIOS ANUALIZADOS</t>
  </si>
  <si>
    <t xml:space="preserve">IVA </t>
  </si>
  <si>
    <t xml:space="preserve">ICE </t>
  </si>
  <si>
    <t>Renta</t>
  </si>
  <si>
    <t>Al comercio y transacciones internacionales</t>
  </si>
  <si>
    <t>Vehículos + Otros</t>
  </si>
  <si>
    <t>No tributarios + Transferencias</t>
  </si>
  <si>
    <t>Y Noil total</t>
  </si>
  <si>
    <t>FILTRO</t>
  </si>
  <si>
    <t>HP</t>
  </si>
  <si>
    <t>hp</t>
  </si>
  <si>
    <r>
      <t>Y</t>
    </r>
    <r>
      <rPr>
        <sz val="8"/>
        <color theme="1"/>
        <rFont val="Arial"/>
        <family val="2"/>
      </rPr>
      <t>t</t>
    </r>
    <r>
      <rPr>
        <sz val="11"/>
        <color theme="1"/>
        <rFont val="Arial"/>
        <family val="2"/>
      </rPr>
      <t>*</t>
    </r>
  </si>
  <si>
    <t>Datos que se utilizarán en el cálculo de todos los ingresos tributarios estructurales (y gastos estructurales)</t>
  </si>
  <si>
    <t>Ingresos IVA GC observado</t>
  </si>
  <si>
    <t>INGRESOS ESTRUCTURALES: IVA</t>
  </si>
  <si>
    <t>IVA</t>
  </si>
  <si>
    <t>ICE</t>
  </si>
  <si>
    <t>Y tributario estructural</t>
  </si>
  <si>
    <t>INGRESOS TRIBUTARIOS ESTRUCTURALES (millones)</t>
  </si>
  <si>
    <t>GASTOS ESTRUCTURALES (millones de USD)</t>
  </si>
  <si>
    <t xml:space="preserve">Gastos Corrientes </t>
  </si>
  <si>
    <t>Gasto de Capital</t>
  </si>
  <si>
    <t xml:space="preserve"> anualizado</t>
  </si>
  <si>
    <t>Compra de B y S</t>
  </si>
  <si>
    <t>PIB real</t>
  </si>
  <si>
    <t xml:space="preserve">PIB tributario potencial </t>
  </si>
  <si>
    <t>PIB potencial</t>
  </si>
  <si>
    <t>PIB tributario REAL (millones de USD)</t>
  </si>
  <si>
    <t xml:space="preserve">PIB  Real ANUALIZADO (millones de USD) </t>
  </si>
  <si>
    <t xml:space="preserve">PIB tributario Real anualizado (millones de USD) </t>
  </si>
  <si>
    <t>Inflación anual Ecuador</t>
  </si>
  <si>
    <t>Inflación anual EEUU</t>
  </si>
  <si>
    <t>Tasa de interés implicita promedio</t>
  </si>
  <si>
    <t>Tasa de interés implicita real</t>
  </si>
  <si>
    <t>antes de hacer el camio del pib</t>
  </si>
  <si>
    <t>RP tributario estructural (% del PIB)</t>
  </si>
  <si>
    <t>2018Q1</t>
  </si>
  <si>
    <t>2018Q2</t>
  </si>
  <si>
    <t>2018Q3</t>
  </si>
  <si>
    <t>2018Q4</t>
  </si>
  <si>
    <t>2017Q6</t>
  </si>
  <si>
    <t>2017Q7</t>
  </si>
  <si>
    <t>2017Q5</t>
  </si>
  <si>
    <t>2017Q8</t>
  </si>
  <si>
    <t>Balance primario estructural</t>
  </si>
  <si>
    <t>Tasa de interés real de la deuda (%)</t>
  </si>
  <si>
    <t>Deuda</t>
  </si>
  <si>
    <t>Crecimiento PIB</t>
  </si>
  <si>
    <t>Indicador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</si>
</sst>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 * #,##0.00_ ;_ * \-#,##0.00_ ;_ * &quot;-&quot;??_ ;_ @_ "/>
    <numFmt numFmtId="164" formatCode="_(* #,##0.00_);_(* \(#,##0.00\);_(* &quot;-&quot;??_);_(@_)"/>
    <numFmt numFmtId="165" formatCode="_-* #,##0.00\ _€_-;\-* #,##0.00\ _€_-;_-* &quot;-&quot;??\ _€_-;_-@_-"/>
    <numFmt numFmtId="166" formatCode="_-* #,##0.00_-;\-* #,##0.00_-;_-* &quot;-&quot;??_-;_-@_-"/>
    <numFmt numFmtId="167" formatCode="0.000"/>
    <numFmt numFmtId="168" formatCode="0.0"/>
    <numFmt numFmtId="169" formatCode="#,##0.0"/>
    <numFmt numFmtId="170" formatCode="0.0%"/>
    <numFmt numFmtId="171" formatCode="_ * #.##0.00_ ;_ * \-#.##0.00_ ;_ * &quot;-&quot;??_ ;_ @_ "/>
    <numFmt numFmtId="172" formatCode="0.0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vertAlign val="subscript"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theme="1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7030A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8"/>
      <color theme="1" tint="0.249977111117893"/>
      <name val="Helvetica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i/>
      <u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Arial"/>
      <family val="2"/>
    </font>
    <font>
      <vertAlign val="subscript"/>
      <sz val="11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528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Arial"/>
      <family val="2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2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71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18" borderId="0"/>
    <xf numFmtId="0" fontId="10" fillId="0" borderId="0"/>
    <xf numFmtId="164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2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71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49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4" fontId="9" fillId="0" borderId="1" xfId="0" applyNumberFormat="1" applyFont="1" applyFill="1" applyBorder="1"/>
    <xf numFmtId="2" fontId="0" fillId="0" borderId="0" xfId="0" applyNumberFormat="1"/>
    <xf numFmtId="0" fontId="0" fillId="0" borderId="1" xfId="0" applyBorder="1"/>
    <xf numFmtId="4" fontId="10" fillId="0" borderId="1" xfId="1" applyNumberFormat="1" applyFont="1" applyFill="1" applyBorder="1"/>
    <xf numFmtId="2" fontId="0" fillId="0" borderId="1" xfId="0" applyNumberFormat="1" applyBorder="1"/>
    <xf numFmtId="0" fontId="0" fillId="0" borderId="0" xfId="0" applyBorder="1" applyAlignment="1">
      <alignment horizontal="right" vertical="center" wrapText="1"/>
    </xf>
    <xf numFmtId="0" fontId="0" fillId="0" borderId="0" xfId="0" applyBorder="1"/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" fontId="0" fillId="0" borderId="1" xfId="0" applyNumberFormat="1" applyBorder="1"/>
    <xf numFmtId="0" fontId="7" fillId="6" borderId="1" xfId="0" applyFont="1" applyFill="1" applyBorder="1"/>
    <xf numFmtId="0" fontId="7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12" fillId="6" borderId="1" xfId="0" applyFont="1" applyFill="1" applyBorder="1"/>
    <xf numFmtId="0" fontId="8" fillId="6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/>
    <xf numFmtId="0" fontId="7" fillId="10" borderId="1" xfId="0" applyFont="1" applyFill="1" applyBorder="1"/>
    <xf numFmtId="0" fontId="8" fillId="10" borderId="1" xfId="0" applyFont="1" applyFill="1" applyBorder="1" applyAlignment="1">
      <alignment horizontal="center" wrapText="1"/>
    </xf>
    <xf numFmtId="0" fontId="7" fillId="0" borderId="0" xfId="0" applyFont="1" applyFill="1"/>
    <xf numFmtId="168" fontId="0" fillId="0" borderId="1" xfId="0" applyNumberFormat="1" applyBorder="1"/>
    <xf numFmtId="0" fontId="0" fillId="0" borderId="11" xfId="0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168" fontId="8" fillId="10" borderId="1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1" fontId="8" fillId="10" borderId="3" xfId="0" applyNumberFormat="1" applyFont="1" applyFill="1" applyBorder="1" applyAlignment="1">
      <alignment horizontal="center" vertical="top" wrapText="1"/>
    </xf>
    <xf numFmtId="0" fontId="0" fillId="12" borderId="0" xfId="0" applyFill="1"/>
    <xf numFmtId="0" fontId="3" fillId="13" borderId="1" xfId="0" applyFont="1" applyFill="1" applyBorder="1" applyAlignment="1">
      <alignment horizontal="center" vertical="center"/>
    </xf>
    <xf numFmtId="167" fontId="0" fillId="0" borderId="0" xfId="0" applyNumberFormat="1"/>
    <xf numFmtId="0" fontId="0" fillId="15" borderId="13" xfId="0" applyFill="1" applyBorder="1" applyAlignment="1">
      <alignment horizontal="center"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 wrapText="1"/>
    </xf>
    <xf numFmtId="170" fontId="0" fillId="0" borderId="0" xfId="3" applyNumberFormat="1" applyFont="1"/>
    <xf numFmtId="169" fontId="0" fillId="0" borderId="1" xfId="0" applyNumberFormat="1" applyBorder="1"/>
    <xf numFmtId="170" fontId="0" fillId="0" borderId="1" xfId="3" applyNumberFormat="1" applyFont="1" applyBorder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0" fillId="0" borderId="0" xfId="0" applyNumberFormat="1" applyAlignment="1">
      <alignment vertical="center" wrapText="1"/>
    </xf>
    <xf numFmtId="2" fontId="0" fillId="0" borderId="18" xfId="0" applyNumberFormat="1" applyBorder="1"/>
    <xf numFmtId="167" fontId="0" fillId="0" borderId="0" xfId="0" applyNumberFormat="1" applyAlignment="1">
      <alignment vertical="center" wrapText="1"/>
    </xf>
    <xf numFmtId="0" fontId="19" fillId="11" borderId="3" xfId="0" applyFont="1" applyFill="1" applyBorder="1" applyAlignment="1">
      <alignment horizontal="center" vertical="center" wrapText="1"/>
    </xf>
    <xf numFmtId="167" fontId="0" fillId="0" borderId="1" xfId="0" applyNumberFormat="1" applyBorder="1"/>
    <xf numFmtId="1" fontId="0" fillId="0" borderId="1" xfId="0" applyNumberFormat="1" applyBorder="1"/>
    <xf numFmtId="167" fontId="0" fillId="12" borderId="1" xfId="0" applyNumberFormat="1" applyFill="1" applyBorder="1"/>
    <xf numFmtId="2" fontId="0" fillId="12" borderId="1" xfId="0" applyNumberFormat="1" applyFill="1" applyBorder="1"/>
    <xf numFmtId="1" fontId="9" fillId="0" borderId="1" xfId="0" applyNumberFormat="1" applyFont="1" applyFill="1" applyBorder="1"/>
    <xf numFmtId="0" fontId="0" fillId="0" borderId="0" xfId="0" applyFill="1"/>
    <xf numFmtId="0" fontId="24" fillId="16" borderId="1" xfId="0" applyFont="1" applyFill="1" applyBorder="1" applyAlignment="1">
      <alignment horizontal="center" vertical="center" wrapText="1"/>
    </xf>
    <xf numFmtId="2" fontId="0" fillId="0" borderId="8" xfId="0" applyNumberFormat="1" applyBorder="1"/>
    <xf numFmtId="0" fontId="0" fillId="0" borderId="2" xfId="0" applyBorder="1"/>
    <xf numFmtId="1" fontId="8" fillId="16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1" fontId="9" fillId="0" borderId="8" xfId="0" applyNumberFormat="1" applyFont="1" applyFill="1" applyBorder="1"/>
    <xf numFmtId="1" fontId="19" fillId="11" borderId="19" xfId="0" applyNumberFormat="1" applyFont="1" applyFill="1" applyBorder="1" applyAlignment="1">
      <alignment horizontal="center" vertical="center" wrapText="1"/>
    </xf>
    <xf numFmtId="1" fontId="15" fillId="11" borderId="17" xfId="0" applyNumberFormat="1" applyFont="1" applyFill="1" applyBorder="1" applyAlignment="1">
      <alignment horizontal="center" vertical="center" wrapText="1"/>
    </xf>
    <xf numFmtId="1" fontId="19" fillId="11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14" xfId="0" applyNumberFormat="1" applyBorder="1"/>
    <xf numFmtId="0" fontId="0" fillId="0" borderId="20" xfId="0" applyBorder="1"/>
    <xf numFmtId="2" fontId="0" fillId="0" borderId="21" xfId="0" applyNumberFormat="1" applyBorder="1"/>
    <xf numFmtId="0" fontId="0" fillId="17" borderId="15" xfId="0" applyFill="1" applyBorder="1" applyAlignment="1">
      <alignment horizontal="center" wrapText="1"/>
    </xf>
    <xf numFmtId="170" fontId="20" fillId="11" borderId="3" xfId="3" applyNumberFormat="1" applyFont="1" applyFill="1" applyBorder="1" applyAlignment="1">
      <alignment horizontal="center" vertical="center"/>
    </xf>
    <xf numFmtId="168" fontId="0" fillId="0" borderId="1" xfId="0" applyNumberFormat="1" applyFill="1" applyBorder="1"/>
    <xf numFmtId="2" fontId="12" fillId="10" borderId="1" xfId="0" applyNumberFormat="1" applyFont="1" applyFill="1" applyBorder="1"/>
    <xf numFmtId="168" fontId="0" fillId="0" borderId="0" xfId="0" applyNumberFormat="1"/>
    <xf numFmtId="1" fontId="7" fillId="0" borderId="0" xfId="0" applyNumberFormat="1" applyFont="1" applyFill="1" applyBorder="1"/>
    <xf numFmtId="1" fontId="7" fillId="0" borderId="0" xfId="0" applyNumberFormat="1" applyFont="1"/>
    <xf numFmtId="1" fontId="8" fillId="3" borderId="1" xfId="0" applyNumberFormat="1" applyFont="1" applyFill="1" applyBorder="1" applyAlignment="1">
      <alignment horizontal="center" vertical="center" wrapText="1"/>
    </xf>
    <xf numFmtId="1" fontId="7" fillId="10" borderId="1" xfId="0" applyNumberFormat="1" applyFont="1" applyFill="1" applyBorder="1"/>
    <xf numFmtId="1" fontId="8" fillId="10" borderId="1" xfId="0" applyNumberFormat="1" applyFont="1" applyFill="1" applyBorder="1" applyAlignment="1">
      <alignment horizontal="center" wrapText="1"/>
    </xf>
    <xf numFmtId="1" fontId="12" fillId="10" borderId="1" xfId="0" applyNumberFormat="1" applyFont="1" applyFill="1" applyBorder="1"/>
    <xf numFmtId="1" fontId="18" fillId="10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/>
    <xf numFmtId="1" fontId="12" fillId="10" borderId="0" xfId="0" applyNumberFormat="1" applyFont="1" applyFill="1"/>
    <xf numFmtId="1" fontId="18" fillId="10" borderId="3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168" fontId="8" fillId="2" borderId="3" xfId="0" applyNumberFormat="1" applyFont="1" applyFill="1" applyBorder="1" applyAlignment="1">
      <alignment horizontal="center" vertical="center" wrapText="1"/>
    </xf>
    <xf numFmtId="168" fontId="8" fillId="2" borderId="4" xfId="0" applyNumberFormat="1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 wrapText="1"/>
    </xf>
    <xf numFmtId="0" fontId="0" fillId="15" borderId="22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1" fontId="10" fillId="18" borderId="1" xfId="4" applyNumberFormat="1" applyFont="1" applyFill="1" applyBorder="1"/>
    <xf numFmtId="169" fontId="10" fillId="0" borderId="0" xfId="1" applyNumberFormat="1" applyFont="1" applyFill="1" applyBorder="1"/>
    <xf numFmtId="169" fontId="0" fillId="0" borderId="0" xfId="0" applyNumberFormat="1"/>
    <xf numFmtId="168" fontId="27" fillId="0" borderId="0" xfId="17" applyNumberFormat="1" applyFont="1" applyFill="1" applyBorder="1"/>
    <xf numFmtId="1" fontId="10" fillId="0" borderId="8" xfId="4" applyNumberFormat="1" applyFont="1" applyFill="1" applyBorder="1"/>
    <xf numFmtId="17" fontId="0" fillId="0" borderId="0" xfId="0" applyNumberFormat="1"/>
    <xf numFmtId="10" fontId="0" fillId="0" borderId="0" xfId="0" applyNumberFormat="1"/>
    <xf numFmtId="10" fontId="0" fillId="0" borderId="0" xfId="0" applyNumberFormat="1" applyAlignment="1">
      <alignment vertical="center" wrapText="1"/>
    </xf>
    <xf numFmtId="0" fontId="0" fillId="0" borderId="0" xfId="0" applyFill="1" applyBorder="1"/>
    <xf numFmtId="4" fontId="0" fillId="0" borderId="0" xfId="0" applyNumberFormat="1" applyFill="1"/>
    <xf numFmtId="0" fontId="8" fillId="14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 wrapText="1"/>
    </xf>
    <xf numFmtId="0" fontId="8" fillId="21" borderId="1" xfId="0" applyFont="1" applyFill="1" applyBorder="1" applyAlignment="1">
      <alignment horizontal="center" vertical="center" wrapText="1"/>
    </xf>
    <xf numFmtId="170" fontId="15" fillId="20" borderId="17" xfId="3" applyNumberFormat="1" applyFont="1" applyFill="1" applyBorder="1" applyAlignment="1">
      <alignment horizontal="center" vertical="center" wrapText="1"/>
    </xf>
    <xf numFmtId="1" fontId="15" fillId="20" borderId="16" xfId="0" applyNumberFormat="1" applyFont="1" applyFill="1" applyBorder="1" applyAlignment="1">
      <alignment horizontal="center" vertical="center"/>
    </xf>
    <xf numFmtId="10" fontId="0" fillId="0" borderId="2" xfId="3" applyNumberFormat="1" applyFont="1" applyFill="1" applyBorder="1"/>
    <xf numFmtId="0" fontId="25" fillId="0" borderId="0" xfId="36"/>
    <xf numFmtId="10" fontId="0" fillId="0" borderId="20" xfId="3" applyNumberFormat="1" applyFont="1" applyFill="1" applyBorder="1"/>
    <xf numFmtId="2" fontId="0" fillId="0" borderId="1" xfId="0" applyNumberFormat="1" applyFill="1" applyBorder="1"/>
    <xf numFmtId="2" fontId="0" fillId="0" borderId="0" xfId="0" applyNumberFormat="1" applyAlignment="1">
      <alignment horizontal="left"/>
    </xf>
    <xf numFmtId="0" fontId="0" fillId="0" borderId="0" xfId="0"/>
    <xf numFmtId="3" fontId="0" fillId="0" borderId="0" xfId="0" applyNumberFormat="1"/>
    <xf numFmtId="2" fontId="31" fillId="18" borderId="0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/>
    <xf numFmtId="0" fontId="34" fillId="0" borderId="0" xfId="0" applyFont="1"/>
    <xf numFmtId="169" fontId="28" fillId="0" borderId="1" xfId="1" applyNumberFormat="1" applyFont="1" applyFill="1" applyBorder="1"/>
    <xf numFmtId="0" fontId="0" fillId="12" borderId="1" xfId="0" applyFill="1" applyBorder="1"/>
    <xf numFmtId="1" fontId="0" fillId="12" borderId="0" xfId="0" applyNumberFormat="1" applyFill="1"/>
    <xf numFmtId="0" fontId="22" fillId="12" borderId="0" xfId="0" applyFont="1" applyFill="1"/>
    <xf numFmtId="0" fontId="35" fillId="0" borderId="0" xfId="0" applyFont="1" applyFill="1" applyBorder="1" applyAlignment="1">
      <alignment vertical="center" wrapText="1"/>
    </xf>
    <xf numFmtId="0" fontId="36" fillId="6" borderId="1" xfId="0" applyFont="1" applyFill="1" applyBorder="1" applyAlignment="1">
      <alignment horizontal="center" vertical="center"/>
    </xf>
    <xf numFmtId="1" fontId="36" fillId="6" borderId="1" xfId="0" applyNumberFormat="1" applyFont="1" applyFill="1" applyBorder="1" applyAlignment="1">
      <alignment horizontal="center" vertical="center"/>
    </xf>
    <xf numFmtId="1" fontId="15" fillId="11" borderId="25" xfId="0" applyNumberFormat="1" applyFont="1" applyFill="1" applyBorder="1" applyAlignment="1">
      <alignment horizontal="center" vertical="center" wrapText="1"/>
    </xf>
    <xf numFmtId="1" fontId="19" fillId="11" borderId="4" xfId="0" applyNumberFormat="1" applyFont="1" applyFill="1" applyBorder="1" applyAlignment="1">
      <alignment horizontal="center" vertical="center" wrapText="1"/>
    </xf>
    <xf numFmtId="167" fontId="0" fillId="0" borderId="8" xfId="0" applyNumberFormat="1" applyBorder="1"/>
    <xf numFmtId="4" fontId="2" fillId="0" borderId="1" xfId="0" applyNumberFormat="1" applyFont="1" applyBorder="1"/>
    <xf numFmtId="10" fontId="0" fillId="0" borderId="1" xfId="3" applyNumberFormat="1" applyFont="1" applyBorder="1"/>
    <xf numFmtId="0" fontId="2" fillId="0" borderId="0" xfId="0" applyFont="1" applyAlignment="1">
      <alignment horizontal="left"/>
    </xf>
    <xf numFmtId="10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 vertical="center" wrapText="1"/>
    </xf>
    <xf numFmtId="1" fontId="0" fillId="19" borderId="1" xfId="0" applyNumberFormat="1" applyFill="1" applyBorder="1" applyAlignment="1">
      <alignment horizontal="center"/>
    </xf>
    <xf numFmtId="0" fontId="38" fillId="0" borderId="0" xfId="0" applyFont="1"/>
    <xf numFmtId="1" fontId="38" fillId="0" borderId="0" xfId="0" applyNumberFormat="1" applyFont="1"/>
    <xf numFmtId="2" fontId="0" fillId="18" borderId="1" xfId="0" applyNumberFormat="1" applyFill="1" applyBorder="1"/>
    <xf numFmtId="168" fontId="0" fillId="18" borderId="1" xfId="0" applyNumberFormat="1" applyFill="1" applyBorder="1"/>
    <xf numFmtId="1" fontId="0" fillId="18" borderId="1" xfId="0" applyNumberFormat="1" applyFill="1" applyBorder="1"/>
    <xf numFmtId="1" fontId="9" fillId="18" borderId="1" xfId="0" applyNumberFormat="1" applyFont="1" applyFill="1" applyBorder="1"/>
    <xf numFmtId="169" fontId="0" fillId="18" borderId="1" xfId="0" applyNumberFormat="1" applyFill="1" applyBorder="1"/>
    <xf numFmtId="10" fontId="0" fillId="18" borderId="1" xfId="3" applyNumberFormat="1" applyFont="1" applyFill="1" applyBorder="1"/>
    <xf numFmtId="169" fontId="28" fillId="0" borderId="0" xfId="1" applyNumberFormat="1" applyFont="1" applyFill="1"/>
    <xf numFmtId="169" fontId="39" fillId="0" borderId="0" xfId="1" applyNumberFormat="1" applyFont="1" applyFill="1"/>
    <xf numFmtId="1" fontId="0" fillId="12" borderId="1" xfId="0" applyNumberFormat="1" applyFill="1" applyBorder="1"/>
    <xf numFmtId="1" fontId="8" fillId="12" borderId="1" xfId="0" applyNumberFormat="1" applyFont="1" applyFill="1" applyBorder="1" applyAlignment="1">
      <alignment horizontal="center" wrapText="1"/>
    </xf>
    <xf numFmtId="169" fontId="28" fillId="12" borderId="1" xfId="1" applyNumberFormat="1" applyFont="1" applyFill="1" applyBorder="1"/>
    <xf numFmtId="0" fontId="0" fillId="0" borderId="0" xfId="0" applyAlignment="1">
      <alignment horizontal="center" vertical="center"/>
    </xf>
    <xf numFmtId="0" fontId="40" fillId="12" borderId="0" xfId="0" applyFont="1" applyFill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168" fontId="0" fillId="12" borderId="1" xfId="0" applyNumberForma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 wrapText="1"/>
    </xf>
    <xf numFmtId="4" fontId="0" fillId="12" borderId="1" xfId="0" applyNumberFormat="1" applyFill="1" applyBorder="1"/>
    <xf numFmtId="170" fontId="0" fillId="0" borderId="8" xfId="3" applyNumberFormat="1" applyFont="1" applyBorder="1"/>
    <xf numFmtId="10" fontId="0" fillId="0" borderId="0" xfId="3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70" fontId="0" fillId="0" borderId="0" xfId="3" applyNumberFormat="1" applyFont="1" applyAlignment="1">
      <alignment horizontal="center"/>
    </xf>
    <xf numFmtId="170" fontId="0" fillId="0" borderId="1" xfId="3" applyNumberFormat="1" applyFont="1" applyBorder="1" applyAlignment="1">
      <alignment horizontal="center"/>
    </xf>
    <xf numFmtId="1" fontId="8" fillId="10" borderId="28" xfId="0" applyNumberFormat="1" applyFont="1" applyFill="1" applyBorder="1" applyAlignment="1">
      <alignment horizontal="center" vertical="top" wrapText="1"/>
    </xf>
    <xf numFmtId="1" fontId="18" fillId="10" borderId="28" xfId="0" applyNumberFormat="1" applyFont="1" applyFill="1" applyBorder="1" applyAlignment="1">
      <alignment horizontal="center" vertical="center" wrapText="1"/>
    </xf>
    <xf numFmtId="169" fontId="41" fillId="0" borderId="1" xfId="1" applyNumberFormat="1" applyFont="1" applyFill="1" applyBorder="1"/>
    <xf numFmtId="10" fontId="22" fillId="0" borderId="1" xfId="3" applyNumberFormat="1" applyFont="1" applyBorder="1"/>
    <xf numFmtId="172" fontId="0" fillId="0" borderId="0" xfId="0" applyNumberFormat="1"/>
    <xf numFmtId="4" fontId="0" fillId="20" borderId="1" xfId="0" applyNumberFormat="1" applyFill="1" applyBorder="1"/>
    <xf numFmtId="4" fontId="0" fillId="3" borderId="1" xfId="0" applyNumberFormat="1" applyFill="1" applyBorder="1"/>
    <xf numFmtId="4" fontId="0" fillId="22" borderId="1" xfId="0" applyNumberFormat="1" applyFill="1" applyBorder="1"/>
    <xf numFmtId="4" fontId="0" fillId="0" borderId="1" xfId="0" applyNumberFormat="1" applyFill="1" applyBorder="1"/>
    <xf numFmtId="2" fontId="0" fillId="0" borderId="1" xfId="0" applyNumberFormat="1" applyBorder="1"/>
    <xf numFmtId="167" fontId="7" fillId="0" borderId="1" xfId="0" applyNumberFormat="1" applyFont="1" applyFill="1" applyBorder="1" applyAlignment="1">
      <alignment horizontal="center"/>
    </xf>
    <xf numFmtId="3" fontId="28" fillId="0" borderId="12" xfId="0" applyNumberFormat="1" applyFont="1" applyBorder="1" applyAlignment="1" applyProtection="1">
      <alignment horizontal="right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8" xfId="0" applyNumberFormat="1" applyBorder="1" applyAlignment="1">
      <alignment horizontal="center"/>
    </xf>
    <xf numFmtId="9" fontId="0" fillId="0" borderId="8" xfId="3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4" fillId="22" borderId="1" xfId="0" applyFont="1" applyFill="1" applyBorder="1" applyAlignment="1">
      <alignment horizontal="center" vertical="center" wrapText="1"/>
    </xf>
    <xf numFmtId="0" fontId="8" fillId="2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/>
    </xf>
    <xf numFmtId="2" fontId="22" fillId="0" borderId="1" xfId="0" applyNumberFormat="1" applyFont="1" applyBorder="1"/>
    <xf numFmtId="1" fontId="42" fillId="0" borderId="1" xfId="0" applyNumberFormat="1" applyFont="1" applyBorder="1"/>
    <xf numFmtId="2" fontId="42" fillId="0" borderId="1" xfId="0" applyNumberFormat="1" applyFont="1" applyBorder="1"/>
    <xf numFmtId="168" fontId="0" fillId="0" borderId="2" xfId="0" applyNumberFormat="1" applyBorder="1"/>
    <xf numFmtId="168" fontId="0" fillId="0" borderId="2" xfId="0" applyNumberFormat="1" applyFill="1" applyBorder="1"/>
    <xf numFmtId="168" fontId="0" fillId="0" borderId="2" xfId="0" applyNumberFormat="1" applyFont="1" applyFill="1" applyBorder="1"/>
    <xf numFmtId="167" fontId="0" fillId="22" borderId="0" xfId="0" applyNumberFormat="1" applyFill="1" applyAlignment="1">
      <alignment horizontal="center"/>
    </xf>
    <xf numFmtId="0" fontId="0" fillId="22" borderId="0" xfId="0" applyFill="1" applyAlignment="1">
      <alignment horizontal="center"/>
    </xf>
    <xf numFmtId="0" fontId="15" fillId="22" borderId="26" xfId="0" applyFont="1" applyFill="1" applyBorder="1" applyAlignment="1">
      <alignment horizontal="center" vertical="center" wrapText="1"/>
    </xf>
    <xf numFmtId="0" fontId="20" fillId="22" borderId="27" xfId="0" applyFont="1" applyFill="1" applyBorder="1" applyAlignment="1">
      <alignment horizontal="center" vertical="center"/>
    </xf>
    <xf numFmtId="167" fontId="0" fillId="22" borderId="8" xfId="0" applyNumberFormat="1" applyFill="1" applyBorder="1" applyAlignment="1">
      <alignment horizontal="center"/>
    </xf>
    <xf numFmtId="170" fontId="0" fillId="22" borderId="8" xfId="3" applyNumberFormat="1" applyFont="1" applyFill="1" applyBorder="1" applyAlignment="1">
      <alignment horizontal="center"/>
    </xf>
    <xf numFmtId="9" fontId="0" fillId="22" borderId="8" xfId="3" applyNumberFormat="1" applyFont="1" applyFill="1" applyBorder="1" applyAlignment="1">
      <alignment horizontal="center"/>
    </xf>
    <xf numFmtId="3" fontId="15" fillId="22" borderId="17" xfId="2" applyNumberFormat="1" applyFont="1" applyFill="1" applyBorder="1" applyAlignment="1">
      <alignment horizontal="center" vertical="center" wrapText="1"/>
    </xf>
    <xf numFmtId="0" fontId="19" fillId="22" borderId="3" xfId="0" applyFont="1" applyFill="1" applyBorder="1" applyAlignment="1">
      <alignment horizontal="center" vertical="center" wrapText="1"/>
    </xf>
    <xf numFmtId="1" fontId="0" fillId="22" borderId="0" xfId="0" applyNumberFormat="1" applyFill="1"/>
    <xf numFmtId="1" fontId="15" fillId="22" borderId="17" xfId="0" applyNumberFormat="1" applyFont="1" applyFill="1" applyBorder="1" applyAlignment="1">
      <alignment horizontal="center" vertical="center" wrapText="1"/>
    </xf>
    <xf numFmtId="1" fontId="19" fillId="22" borderId="3" xfId="0" applyNumberFormat="1" applyFont="1" applyFill="1" applyBorder="1" applyAlignment="1">
      <alignment horizontal="center" vertical="center" wrapText="1"/>
    </xf>
    <xf numFmtId="1" fontId="0" fillId="22" borderId="1" xfId="0" applyNumberFormat="1" applyFill="1" applyBorder="1"/>
    <xf numFmtId="1" fontId="22" fillId="22" borderId="1" xfId="0" applyNumberFormat="1" applyFont="1" applyFill="1" applyBorder="1"/>
    <xf numFmtId="0" fontId="0" fillId="22" borderId="0" xfId="0" applyFill="1" applyBorder="1"/>
    <xf numFmtId="170" fontId="0" fillId="22" borderId="0" xfId="3" applyNumberFormat="1" applyFont="1" applyFill="1"/>
    <xf numFmtId="170" fontId="15" fillId="22" borderId="17" xfId="3" applyNumberFormat="1" applyFont="1" applyFill="1" applyBorder="1" applyAlignment="1">
      <alignment horizontal="center" vertical="center" wrapText="1"/>
    </xf>
    <xf numFmtId="170" fontId="19" fillId="22" borderId="3" xfId="3" applyNumberFormat="1" applyFont="1" applyFill="1" applyBorder="1" applyAlignment="1">
      <alignment horizontal="center" vertical="center" wrapText="1"/>
    </xf>
    <xf numFmtId="170" fontId="0" fillId="22" borderId="1" xfId="3" applyNumberFormat="1" applyFont="1" applyFill="1" applyBorder="1"/>
    <xf numFmtId="2" fontId="8" fillId="8" borderId="6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68" fontId="0" fillId="24" borderId="1" xfId="0" applyNumberFormat="1" applyFill="1" applyBorder="1" applyAlignment="1">
      <alignment horizontal="center"/>
    </xf>
    <xf numFmtId="10" fontId="0" fillId="0" borderId="2" xfId="0" applyNumberFormat="1" applyBorder="1"/>
    <xf numFmtId="0" fontId="3" fillId="12" borderId="1" xfId="0" applyFont="1" applyFill="1" applyBorder="1" applyAlignment="1">
      <alignment horizontal="center" vertical="center"/>
    </xf>
    <xf numFmtId="168" fontId="0" fillId="0" borderId="0" xfId="0" applyNumberFormat="1" applyAlignment="1">
      <alignment horizontal="center"/>
    </xf>
    <xf numFmtId="2" fontId="22" fillId="0" borderId="1" xfId="0" applyNumberFormat="1" applyFont="1" applyFill="1" applyBorder="1"/>
    <xf numFmtId="1" fontId="44" fillId="0" borderId="1" xfId="0" applyNumberFormat="1" applyFont="1" applyFill="1" applyBorder="1" applyAlignment="1">
      <alignment horizontal="center" wrapText="1"/>
    </xf>
    <xf numFmtId="0" fontId="38" fillId="13" borderId="1" xfId="0" applyFont="1" applyFill="1" applyBorder="1" applyAlignment="1">
      <alignment horizontal="center" vertical="center"/>
    </xf>
    <xf numFmtId="170" fontId="22" fillId="0" borderId="1" xfId="3" applyNumberFormat="1" applyFont="1" applyBorder="1" applyAlignment="1">
      <alignment horizontal="center"/>
    </xf>
    <xf numFmtId="0" fontId="0" fillId="0" borderId="0" xfId="0" applyAlignment="1">
      <alignment horizontal="right"/>
    </xf>
    <xf numFmtId="168" fontId="8" fillId="0" borderId="12" xfId="0" applyNumberFormat="1" applyFont="1" applyFill="1" applyBorder="1" applyAlignment="1">
      <alignment horizontal="right" vertical="center" wrapText="1"/>
    </xf>
    <xf numFmtId="169" fontId="0" fillId="12" borderId="1" xfId="0" applyNumberFormat="1" applyFill="1" applyBorder="1"/>
    <xf numFmtId="169" fontId="9" fillId="12" borderId="1" xfId="0" applyNumberFormat="1" applyFont="1" applyFill="1" applyBorder="1"/>
    <xf numFmtId="0" fontId="12" fillId="0" borderId="0" xfId="0" applyFont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18" borderId="1" xfId="0" applyNumberFormat="1" applyFill="1" applyBorder="1" applyAlignment="1">
      <alignment horizontal="center"/>
    </xf>
    <xf numFmtId="0" fontId="16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/>
    </xf>
    <xf numFmtId="0" fontId="23" fillId="8" borderId="12" xfId="0" applyFont="1" applyFill="1" applyBorder="1" applyAlignment="1">
      <alignment horizontal="center" vertical="center"/>
    </xf>
    <xf numFmtId="0" fontId="12" fillId="8" borderId="0" xfId="0" applyFont="1" applyFill="1"/>
    <xf numFmtId="168" fontId="47" fillId="0" borderId="1" xfId="0" applyNumberFormat="1" applyFont="1" applyFill="1" applyBorder="1"/>
    <xf numFmtId="168" fontId="46" fillId="11" borderId="1" xfId="0" applyNumberFormat="1" applyFont="1" applyFill="1" applyBorder="1" applyAlignment="1">
      <alignment horizontal="center" vertical="center" wrapText="1"/>
    </xf>
    <xf numFmtId="168" fontId="36" fillId="8" borderId="1" xfId="0" applyNumberFormat="1" applyFont="1" applyFill="1" applyBorder="1" applyAlignment="1">
      <alignment horizontal="center" vertical="center" wrapText="1"/>
    </xf>
    <xf numFmtId="168" fontId="0" fillId="0" borderId="1" xfId="0" applyNumberFormat="1" applyFill="1" applyBorder="1" applyAlignment="1">
      <alignment horizontal="center" vertical="center"/>
    </xf>
    <xf numFmtId="168" fontId="47" fillId="0" borderId="1" xfId="0" applyNumberFormat="1" applyFont="1" applyFill="1" applyBorder="1" applyAlignment="1">
      <alignment horizontal="center" vertical="center"/>
    </xf>
    <xf numFmtId="1" fontId="15" fillId="3" borderId="9" xfId="0" applyNumberFormat="1" applyFont="1" applyFill="1" applyBorder="1" applyAlignment="1"/>
    <xf numFmtId="1" fontId="15" fillId="3" borderId="10" xfId="0" applyNumberFormat="1" applyFont="1" applyFill="1" applyBorder="1" applyAlignment="1"/>
    <xf numFmtId="1" fontId="15" fillId="3" borderId="5" xfId="0" applyNumberFormat="1" applyFont="1" applyFill="1" applyBorder="1" applyAlignment="1"/>
    <xf numFmtId="1" fontId="15" fillId="3" borderId="8" xfId="0" applyNumberFormat="1" applyFont="1" applyFill="1" applyBorder="1" applyAlignment="1"/>
    <xf numFmtId="1" fontId="47" fillId="0" borderId="0" xfId="0" applyNumberFormat="1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47" fillId="21" borderId="3" xfId="0" applyNumberFormat="1" applyFont="1" applyFill="1" applyBorder="1" applyAlignment="1">
      <alignment horizontal="center" vertical="center" wrapText="1"/>
    </xf>
    <xf numFmtId="0" fontId="48" fillId="21" borderId="1" xfId="0" applyFont="1" applyFill="1" applyBorder="1" applyAlignment="1">
      <alignment horizontal="center" vertical="center"/>
    </xf>
    <xf numFmtId="1" fontId="48" fillId="21" borderId="1" xfId="0" applyNumberFormat="1" applyFont="1" applyFill="1" applyBorder="1" applyAlignment="1">
      <alignment horizontal="center" vertical="center"/>
    </xf>
    <xf numFmtId="1" fontId="36" fillId="21" borderId="1" xfId="0" applyNumberFormat="1" applyFont="1" applyFill="1" applyBorder="1" applyAlignment="1">
      <alignment horizontal="center" vertical="center" wrapText="1"/>
    </xf>
    <xf numFmtId="170" fontId="0" fillId="22" borderId="5" xfId="3" applyNumberFormat="1" applyFont="1" applyFill="1" applyBorder="1" applyAlignment="1">
      <alignment horizontal="center"/>
    </xf>
    <xf numFmtId="0" fontId="3" fillId="13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0" fontId="38" fillId="13" borderId="8" xfId="0" applyFont="1" applyFill="1" applyBorder="1" applyAlignment="1">
      <alignment horizontal="center" vertical="center"/>
    </xf>
    <xf numFmtId="170" fontId="0" fillId="0" borderId="0" xfId="3" applyNumberFormat="1" applyFont="1" applyFill="1" applyBorder="1" applyAlignment="1">
      <alignment horizontal="center"/>
    </xf>
    <xf numFmtId="9" fontId="0" fillId="0" borderId="0" xfId="3" applyNumberFormat="1" applyFont="1" applyFill="1" applyBorder="1" applyAlignment="1">
      <alignment horizontal="center"/>
    </xf>
    <xf numFmtId="0" fontId="47" fillId="0" borderId="0" xfId="0" applyFont="1"/>
    <xf numFmtId="0" fontId="47" fillId="23" borderId="15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/>
    </xf>
    <xf numFmtId="2" fontId="47" fillId="0" borderId="8" xfId="0" applyNumberFormat="1" applyFont="1" applyBorder="1" applyAlignment="1">
      <alignment horizontal="center"/>
    </xf>
    <xf numFmtId="0" fontId="47" fillId="0" borderId="1" xfId="0" applyFont="1" applyBorder="1"/>
    <xf numFmtId="1" fontId="51" fillId="0" borderId="1" xfId="0" applyNumberFormat="1" applyFont="1" applyFill="1" applyBorder="1" applyAlignment="1">
      <alignment horizontal="center" vertical="center"/>
    </xf>
    <xf numFmtId="0" fontId="48" fillId="23" borderId="2" xfId="0" applyFont="1" applyFill="1" applyBorder="1" applyAlignment="1">
      <alignment horizontal="center" vertical="center"/>
    </xf>
    <xf numFmtId="0" fontId="48" fillId="23" borderId="7" xfId="0" applyFont="1" applyFill="1" applyBorder="1" applyAlignment="1">
      <alignment horizontal="center" vertical="center"/>
    </xf>
    <xf numFmtId="0" fontId="48" fillId="23" borderId="0" xfId="0" applyFont="1" applyFill="1" applyBorder="1" applyAlignment="1">
      <alignment horizontal="center" vertical="center"/>
    </xf>
    <xf numFmtId="0" fontId="47" fillId="0" borderId="0" xfId="0" applyFont="1" applyAlignment="1">
      <alignment horizontal="center"/>
    </xf>
    <xf numFmtId="1" fontId="51" fillId="26" borderId="1" xfId="0" applyNumberFormat="1" applyFont="1" applyFill="1" applyBorder="1" applyAlignment="1">
      <alignment horizontal="center" vertical="center"/>
    </xf>
    <xf numFmtId="1" fontId="0" fillId="24" borderId="1" xfId="0" applyNumberFormat="1" applyFill="1" applyBorder="1" applyAlignment="1">
      <alignment horizontal="center"/>
    </xf>
    <xf numFmtId="0" fontId="15" fillId="24" borderId="1" xfId="0" applyFont="1" applyFill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1" fontId="20" fillId="11" borderId="1" xfId="0" applyNumberFormat="1" applyFont="1" applyFill="1" applyBorder="1" applyAlignment="1">
      <alignment horizontal="center" vertical="center" wrapText="1"/>
    </xf>
    <xf numFmtId="1" fontId="20" fillId="11" borderId="29" xfId="0" applyNumberFormat="1" applyFont="1" applyFill="1" applyBorder="1" applyAlignment="1">
      <alignment horizontal="center" vertical="center" wrapText="1"/>
    </xf>
    <xf numFmtId="0" fontId="0" fillId="20" borderId="0" xfId="0" applyFill="1" applyAlignment="1">
      <alignment horizontal="center" vertical="center"/>
    </xf>
    <xf numFmtId="0" fontId="0" fillId="20" borderId="0" xfId="0" applyFill="1" applyBorder="1" applyAlignment="1">
      <alignment horizontal="center" vertical="center"/>
    </xf>
    <xf numFmtId="1" fontId="0" fillId="27" borderId="0" xfId="0" applyNumberFormat="1" applyFill="1" applyAlignment="1">
      <alignment horizontal="center"/>
    </xf>
    <xf numFmtId="0" fontId="0" fillId="27" borderId="0" xfId="0" applyFill="1" applyBorder="1" applyAlignment="1">
      <alignment horizontal="center"/>
    </xf>
    <xf numFmtId="0" fontId="0" fillId="29" borderId="0" xfId="0" applyFill="1" applyAlignment="1">
      <alignment horizontal="center"/>
    </xf>
    <xf numFmtId="0" fontId="0" fillId="29" borderId="0" xfId="0" applyFill="1" applyBorder="1" applyAlignment="1">
      <alignment horizontal="center"/>
    </xf>
    <xf numFmtId="170" fontId="15" fillId="11" borderId="17" xfId="3" applyNumberFormat="1" applyFont="1" applyFill="1" applyBorder="1" applyAlignment="1">
      <alignment horizontal="center" vertical="center" wrapText="1"/>
    </xf>
    <xf numFmtId="170" fontId="19" fillId="11" borderId="3" xfId="3" applyNumberFormat="1" applyFont="1" applyFill="1" applyBorder="1" applyAlignment="1">
      <alignment horizontal="center" vertical="center" wrapText="1"/>
    </xf>
    <xf numFmtId="170" fontId="0" fillId="0" borderId="8" xfId="3" applyNumberFormat="1" applyFont="1" applyBorder="1" applyAlignment="1">
      <alignment horizontal="center"/>
    </xf>
    <xf numFmtId="170" fontId="0" fillId="28" borderId="0" xfId="3" applyNumberFormat="1" applyFont="1" applyFill="1" applyAlignment="1">
      <alignment horizontal="center" vertical="center"/>
    </xf>
    <xf numFmtId="170" fontId="0" fillId="28" borderId="0" xfId="3" applyNumberFormat="1" applyFont="1" applyFill="1" applyBorder="1" applyAlignment="1">
      <alignment horizontal="center" vertical="center"/>
    </xf>
    <xf numFmtId="0" fontId="0" fillId="27" borderId="1" xfId="0" applyFill="1" applyBorder="1" applyAlignment="1">
      <alignment horizontal="center"/>
    </xf>
    <xf numFmtId="0" fontId="0" fillId="30" borderId="1" xfId="0" applyFill="1" applyBorder="1" applyAlignment="1">
      <alignment horizontal="center"/>
    </xf>
    <xf numFmtId="1" fontId="15" fillId="0" borderId="29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0" fillId="28" borderId="0" xfId="0" applyNumberFormat="1" applyFill="1" applyAlignment="1">
      <alignment horizontal="center"/>
    </xf>
    <xf numFmtId="0" fontId="0" fillId="28" borderId="0" xfId="0" applyFill="1" applyBorder="1" applyAlignment="1">
      <alignment horizontal="center"/>
    </xf>
    <xf numFmtId="170" fontId="0" fillId="30" borderId="0" xfId="3" applyNumberFormat="1" applyFont="1" applyFill="1" applyAlignment="1">
      <alignment horizontal="center" vertical="center"/>
    </xf>
    <xf numFmtId="170" fontId="0" fillId="30" borderId="0" xfId="3" applyNumberFormat="1" applyFont="1" applyFill="1" applyBorder="1" applyAlignment="1">
      <alignment horizontal="center" vertical="center"/>
    </xf>
    <xf numFmtId="1" fontId="52" fillId="27" borderId="1" xfId="0" applyNumberFormat="1" applyFont="1" applyFill="1" applyBorder="1" applyAlignment="1">
      <alignment horizontal="center"/>
    </xf>
    <xf numFmtId="170" fontId="52" fillId="20" borderId="5" xfId="3" applyNumberFormat="1" applyFont="1" applyFill="1" applyBorder="1" applyAlignment="1">
      <alignment horizontal="center" vertical="center"/>
    </xf>
    <xf numFmtId="1" fontId="52" fillId="28" borderId="8" xfId="0" applyNumberFormat="1" applyFont="1" applyFill="1" applyBorder="1" applyAlignment="1">
      <alignment horizontal="center"/>
    </xf>
    <xf numFmtId="1" fontId="52" fillId="28" borderId="1" xfId="0" applyNumberFormat="1" applyFont="1" applyFill="1" applyBorder="1" applyAlignment="1">
      <alignment horizontal="center"/>
    </xf>
    <xf numFmtId="170" fontId="52" fillId="29" borderId="8" xfId="3" applyNumberFormat="1" applyFont="1" applyFill="1" applyBorder="1" applyAlignment="1">
      <alignment horizontal="center"/>
    </xf>
    <xf numFmtId="170" fontId="52" fillId="28" borderId="2" xfId="3" applyNumberFormat="1" applyFont="1" applyFill="1" applyBorder="1" applyAlignment="1">
      <alignment horizontal="center" vertical="center"/>
    </xf>
    <xf numFmtId="170" fontId="52" fillId="30" borderId="2" xfId="3" applyNumberFormat="1" applyFont="1" applyFill="1" applyBorder="1" applyAlignment="1">
      <alignment horizontal="center" vertical="center"/>
    </xf>
    <xf numFmtId="9" fontId="52" fillId="27" borderId="1" xfId="0" applyNumberFormat="1" applyFont="1" applyFill="1" applyBorder="1" applyAlignment="1">
      <alignment horizontal="center"/>
    </xf>
    <xf numFmtId="170" fontId="52" fillId="30" borderId="1" xfId="3" applyNumberFormat="1" applyFont="1" applyFill="1" applyBorder="1" applyAlignment="1">
      <alignment horizontal="center"/>
    </xf>
    <xf numFmtId="1" fontId="53" fillId="27" borderId="17" xfId="0" applyNumberFormat="1" applyFont="1" applyFill="1" applyBorder="1" applyAlignment="1">
      <alignment horizontal="center" vertical="center" wrapText="1"/>
    </xf>
    <xf numFmtId="0" fontId="53" fillId="20" borderId="25" xfId="0" applyFont="1" applyFill="1" applyBorder="1" applyAlignment="1">
      <alignment horizontal="center" vertical="center" wrapText="1"/>
    </xf>
    <xf numFmtId="170" fontId="53" fillId="27" borderId="1" xfId="3" applyNumberFormat="1" applyFont="1" applyFill="1" applyBorder="1" applyAlignment="1">
      <alignment horizontal="center" vertical="center" wrapText="1"/>
    </xf>
    <xf numFmtId="1" fontId="53" fillId="28" borderId="26" xfId="0" applyNumberFormat="1" applyFont="1" applyFill="1" applyBorder="1" applyAlignment="1">
      <alignment horizontal="center" vertical="center" wrapText="1"/>
    </xf>
    <xf numFmtId="1" fontId="53" fillId="28" borderId="17" xfId="0" applyNumberFormat="1" applyFont="1" applyFill="1" applyBorder="1" applyAlignment="1">
      <alignment horizontal="center" vertical="center" wrapText="1"/>
    </xf>
    <xf numFmtId="170" fontId="53" fillId="28" borderId="25" xfId="3" applyNumberFormat="1" applyFont="1" applyFill="1" applyBorder="1" applyAlignment="1">
      <alignment horizontal="center" vertical="center" wrapText="1"/>
    </xf>
    <xf numFmtId="1" fontId="53" fillId="30" borderId="1" xfId="0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53" fillId="29" borderId="17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/>
    </xf>
    <xf numFmtId="1" fontId="19" fillId="22" borderId="28" xfId="0" applyNumberFormat="1" applyFont="1" applyFill="1" applyBorder="1" applyAlignment="1">
      <alignment horizontal="center" vertical="center" wrapText="1"/>
    </xf>
    <xf numFmtId="9" fontId="0" fillId="22" borderId="1" xfId="3" applyFont="1" applyFill="1" applyBorder="1"/>
    <xf numFmtId="1" fontId="20" fillId="12" borderId="1" xfId="0" applyNumberFormat="1" applyFont="1" applyFill="1" applyBorder="1" applyAlignment="1">
      <alignment horizontal="center" vertical="center" wrapText="1"/>
    </xf>
    <xf numFmtId="170" fontId="0" fillId="12" borderId="1" xfId="3" applyNumberFormat="1" applyFont="1" applyFill="1" applyBorder="1"/>
    <xf numFmtId="170" fontId="0" fillId="12" borderId="8" xfId="3" applyNumberFormat="1" applyFont="1" applyFill="1" applyBorder="1"/>
    <xf numFmtId="9" fontId="0" fillId="12" borderId="1" xfId="3" applyFont="1" applyFill="1" applyBorder="1"/>
    <xf numFmtId="168" fontId="0" fillId="12" borderId="2" xfId="0" applyNumberFormat="1" applyFill="1" applyBorder="1"/>
    <xf numFmtId="1" fontId="0" fillId="12" borderId="1" xfId="0" applyNumberFormat="1" applyFill="1" applyBorder="1" applyAlignment="1">
      <alignment horizontal="center"/>
    </xf>
    <xf numFmtId="170" fontId="0" fillId="12" borderId="8" xfId="3" applyNumberFormat="1" applyFont="1" applyFill="1" applyBorder="1" applyAlignment="1">
      <alignment horizontal="center"/>
    </xf>
    <xf numFmtId="9" fontId="0" fillId="12" borderId="8" xfId="3" applyNumberFormat="1" applyFont="1" applyFill="1" applyBorder="1" applyAlignment="1">
      <alignment horizontal="center"/>
    </xf>
    <xf numFmtId="170" fontId="0" fillId="12" borderId="1" xfId="3" applyNumberFormat="1" applyFont="1" applyFill="1" applyBorder="1" applyAlignment="1">
      <alignment horizontal="center"/>
    </xf>
    <xf numFmtId="170" fontId="0" fillId="12" borderId="0" xfId="3" applyNumberFormat="1" applyFont="1" applyFill="1"/>
    <xf numFmtId="10" fontId="0" fillId="12" borderId="0" xfId="0" applyNumberFormat="1" applyFill="1"/>
    <xf numFmtId="0" fontId="54" fillId="11" borderId="17" xfId="0" applyFont="1" applyFill="1" applyBorder="1" applyAlignment="1">
      <alignment horizontal="center" vertical="center" wrapText="1"/>
    </xf>
    <xf numFmtId="170" fontId="22" fillId="12" borderId="8" xfId="3" applyNumberFormat="1" applyFont="1" applyFill="1" applyBorder="1" applyAlignment="1">
      <alignment horizontal="center"/>
    </xf>
    <xf numFmtId="1" fontId="20" fillId="31" borderId="1" xfId="0" applyNumberFormat="1" applyFont="1" applyFill="1" applyBorder="1" applyAlignment="1">
      <alignment horizontal="center" vertical="center" wrapText="1"/>
    </xf>
    <xf numFmtId="1" fontId="0" fillId="31" borderId="1" xfId="0" applyNumberFormat="1" applyFill="1" applyBorder="1"/>
    <xf numFmtId="170" fontId="0" fillId="31" borderId="1" xfId="3" applyNumberFormat="1" applyFont="1" applyFill="1" applyBorder="1"/>
    <xf numFmtId="170" fontId="0" fillId="31" borderId="8" xfId="3" applyNumberFormat="1" applyFont="1" applyFill="1" applyBorder="1"/>
    <xf numFmtId="168" fontId="0" fillId="31" borderId="2" xfId="0" applyNumberFormat="1" applyFill="1" applyBorder="1"/>
    <xf numFmtId="1" fontId="0" fillId="31" borderId="1" xfId="0" applyNumberFormat="1" applyFill="1" applyBorder="1" applyAlignment="1">
      <alignment horizontal="center"/>
    </xf>
    <xf numFmtId="9" fontId="0" fillId="31" borderId="8" xfId="3" applyNumberFormat="1" applyFont="1" applyFill="1" applyBorder="1" applyAlignment="1">
      <alignment horizontal="center"/>
    </xf>
    <xf numFmtId="170" fontId="0" fillId="31" borderId="8" xfId="3" applyNumberFormat="1" applyFont="1" applyFill="1" applyBorder="1" applyAlignment="1">
      <alignment horizontal="center"/>
    </xf>
    <xf numFmtId="170" fontId="0" fillId="31" borderId="1" xfId="3" applyNumberFormat="1" applyFont="1" applyFill="1" applyBorder="1" applyAlignment="1">
      <alignment horizontal="center"/>
    </xf>
    <xf numFmtId="170" fontId="0" fillId="31" borderId="0" xfId="3" applyNumberFormat="1" applyFont="1" applyFill="1"/>
    <xf numFmtId="10" fontId="0" fillId="31" borderId="0" xfId="0" applyNumberFormat="1" applyFill="1"/>
    <xf numFmtId="0" fontId="0" fillId="31" borderId="0" xfId="0" applyFill="1"/>
    <xf numFmtId="10" fontId="0" fillId="31" borderId="0" xfId="3" applyNumberFormat="1" applyFont="1" applyFill="1"/>
    <xf numFmtId="168" fontId="0" fillId="31" borderId="2" xfId="0" applyNumberFormat="1" applyFont="1" applyFill="1" applyBorder="1"/>
    <xf numFmtId="170" fontId="22" fillId="31" borderId="1" xfId="3" applyNumberFormat="1" applyFont="1" applyFill="1" applyBorder="1" applyAlignment="1">
      <alignment horizontal="center"/>
    </xf>
    <xf numFmtId="170" fontId="22" fillId="22" borderId="1" xfId="3" applyNumberFormat="1" applyFont="1" applyFill="1" applyBorder="1"/>
    <xf numFmtId="0" fontId="3" fillId="23" borderId="2" xfId="0" applyFont="1" applyFill="1" applyBorder="1" applyAlignment="1">
      <alignment horizontal="center" vertical="center"/>
    </xf>
    <xf numFmtId="0" fontId="0" fillId="23" borderId="1" xfId="0" applyFill="1" applyBorder="1"/>
    <xf numFmtId="1" fontId="9" fillId="23" borderId="8" xfId="0" applyNumberFormat="1" applyFont="1" applyFill="1" applyBorder="1"/>
    <xf numFmtId="1" fontId="0" fillId="23" borderId="1" xfId="0" applyNumberFormat="1" applyFill="1" applyBorder="1"/>
    <xf numFmtId="1" fontId="0" fillId="23" borderId="0" xfId="0" applyNumberFormat="1" applyFill="1"/>
    <xf numFmtId="0" fontId="0" fillId="23" borderId="0" xfId="0" applyFill="1"/>
    <xf numFmtId="1" fontId="10" fillId="23" borderId="5" xfId="1" applyNumberFormat="1" applyFont="1" applyFill="1" applyBorder="1" applyAlignment="1">
      <alignment horizontal="right"/>
    </xf>
    <xf numFmtId="1" fontId="10" fillId="23" borderId="1" xfId="4" applyNumberFormat="1" applyFont="1" applyFill="1" applyBorder="1"/>
    <xf numFmtId="170" fontId="0" fillId="23" borderId="0" xfId="3" applyNumberFormat="1" applyFont="1" applyFill="1"/>
    <xf numFmtId="170" fontId="15" fillId="20" borderId="0" xfId="3" applyNumberFormat="1" applyFont="1" applyFill="1" applyBorder="1" applyAlignment="1">
      <alignment horizontal="center" vertical="center" wrapText="1"/>
    </xf>
    <xf numFmtId="170" fontId="20" fillId="11" borderId="0" xfId="3" applyNumberFormat="1" applyFont="1" applyFill="1" applyBorder="1" applyAlignment="1">
      <alignment horizontal="center" vertical="center"/>
    </xf>
    <xf numFmtId="167" fontId="0" fillId="0" borderId="0" xfId="0" applyNumberFormat="1" applyBorder="1"/>
    <xf numFmtId="170" fontId="0" fillId="32" borderId="0" xfId="3" applyNumberFormat="1" applyFont="1" applyFill="1" applyBorder="1" applyAlignment="1">
      <alignment horizontal="center"/>
    </xf>
    <xf numFmtId="170" fontId="22" fillId="32" borderId="0" xfId="3" applyNumberFormat="1" applyFont="1" applyFill="1" applyBorder="1" applyAlignment="1">
      <alignment horizontal="center"/>
    </xf>
    <xf numFmtId="2" fontId="0" fillId="19" borderId="1" xfId="0" applyNumberFormat="1" applyFill="1" applyBorder="1"/>
    <xf numFmtId="4" fontId="2" fillId="12" borderId="1" xfId="0" applyNumberFormat="1" applyFont="1" applyFill="1" applyBorder="1"/>
    <xf numFmtId="10" fontId="0" fillId="12" borderId="1" xfId="3" applyNumberFormat="1" applyFont="1" applyFill="1" applyBorder="1"/>
    <xf numFmtId="10" fontId="22" fillId="12" borderId="1" xfId="3" applyNumberFormat="1" applyFont="1" applyFill="1" applyBorder="1"/>
    <xf numFmtId="2" fontId="0" fillId="12" borderId="8" xfId="0" applyNumberFormat="1" applyFill="1" applyBorder="1"/>
    <xf numFmtId="0" fontId="38" fillId="12" borderId="1" xfId="0" applyFont="1" applyFill="1" applyBorder="1" applyAlignment="1">
      <alignment horizontal="center" vertical="center"/>
    </xf>
    <xf numFmtId="3" fontId="28" fillId="0" borderId="30" xfId="0" applyNumberFormat="1" applyFont="1" applyBorder="1" applyAlignment="1" applyProtection="1">
      <alignment horizontal="right"/>
    </xf>
    <xf numFmtId="3" fontId="28" fillId="0" borderId="30" xfId="0" applyNumberFormat="1" applyFont="1" applyFill="1" applyBorder="1" applyAlignment="1" applyProtection="1">
      <alignment horizontal="right"/>
    </xf>
    <xf numFmtId="1" fontId="0" fillId="0" borderId="0" xfId="0" applyNumberFormat="1" applyFill="1" applyBorder="1"/>
    <xf numFmtId="169" fontId="23" fillId="0" borderId="0" xfId="1" applyNumberFormat="1" applyFont="1" applyFill="1"/>
    <xf numFmtId="169" fontId="55" fillId="0" borderId="0" xfId="1" applyNumberFormat="1" applyFont="1" applyFill="1" applyBorder="1"/>
    <xf numFmtId="170" fontId="0" fillId="12" borderId="0" xfId="3" applyNumberFormat="1" applyFont="1" applyFill="1" applyAlignment="1">
      <alignment horizontal="center"/>
    </xf>
    <xf numFmtId="0" fontId="2" fillId="0" borderId="0" xfId="0" applyFont="1" applyAlignment="1">
      <alignment horizontal="right"/>
    </xf>
    <xf numFmtId="10" fontId="0" fillId="29" borderId="0" xfId="0" applyNumberFormat="1" applyFill="1" applyBorder="1" applyAlignment="1">
      <alignment horizontal="center"/>
    </xf>
    <xf numFmtId="170" fontId="0" fillId="29" borderId="8" xfId="3" applyNumberFormat="1" applyFont="1" applyFill="1" applyBorder="1"/>
    <xf numFmtId="170" fontId="0" fillId="29" borderId="8" xfId="3" applyNumberFormat="1" applyFont="1" applyFill="1" applyBorder="1" applyAlignment="1">
      <alignment horizontal="center"/>
    </xf>
    <xf numFmtId="170" fontId="0" fillId="29" borderId="1" xfId="3" applyNumberFormat="1" applyFont="1" applyFill="1" applyBorder="1" applyAlignment="1">
      <alignment horizontal="center"/>
    </xf>
    <xf numFmtId="2" fontId="0" fillId="29" borderId="12" xfId="0" applyNumberFormat="1" applyFill="1" applyBorder="1" applyAlignment="1">
      <alignment horizontal="center"/>
    </xf>
    <xf numFmtId="0" fontId="38" fillId="29" borderId="0" xfId="0" applyFont="1" applyFill="1"/>
    <xf numFmtId="0" fontId="0" fillId="29" borderId="0" xfId="0" applyFill="1"/>
    <xf numFmtId="2" fontId="0" fillId="29" borderId="1" xfId="0" applyNumberFormat="1" applyFill="1" applyBorder="1"/>
    <xf numFmtId="4" fontId="2" fillId="29" borderId="1" xfId="0" applyNumberFormat="1" applyFont="1" applyFill="1" applyBorder="1"/>
    <xf numFmtId="4" fontId="0" fillId="29" borderId="1" xfId="0" applyNumberFormat="1" applyFill="1" applyBorder="1"/>
    <xf numFmtId="1" fontId="0" fillId="29" borderId="0" xfId="0" applyNumberFormat="1" applyFill="1"/>
    <xf numFmtId="2" fontId="0" fillId="29" borderId="0" xfId="0" applyNumberFormat="1" applyFill="1"/>
    <xf numFmtId="1" fontId="0" fillId="29" borderId="1" xfId="0" applyNumberFormat="1" applyFill="1" applyBorder="1"/>
    <xf numFmtId="1" fontId="0" fillId="29" borderId="0" xfId="0" applyNumberFormat="1" applyFill="1" applyAlignment="1">
      <alignment horizontal="center" vertical="center"/>
    </xf>
    <xf numFmtId="169" fontId="0" fillId="29" borderId="1" xfId="0" applyNumberFormat="1" applyFill="1" applyBorder="1"/>
    <xf numFmtId="169" fontId="0" fillId="29" borderId="0" xfId="0" applyNumberFormat="1" applyFill="1"/>
    <xf numFmtId="10" fontId="0" fillId="29" borderId="1" xfId="3" applyNumberFormat="1" applyFont="1" applyFill="1" applyBorder="1"/>
    <xf numFmtId="170" fontId="0" fillId="29" borderId="1" xfId="3" applyNumberFormat="1" applyFont="1" applyFill="1" applyBorder="1"/>
    <xf numFmtId="170" fontId="0" fillId="22" borderId="0" xfId="0" applyNumberFormat="1" applyFill="1" applyBorder="1" applyAlignment="1">
      <alignment horizontal="center"/>
    </xf>
    <xf numFmtId="1" fontId="0" fillId="27" borderId="0" xfId="0" applyNumberFormat="1" applyFill="1"/>
    <xf numFmtId="170" fontId="0" fillId="27" borderId="1" xfId="3" applyNumberFormat="1" applyFont="1" applyFill="1" applyBorder="1" applyAlignment="1">
      <alignment horizontal="center"/>
    </xf>
    <xf numFmtId="4" fontId="0" fillId="27" borderId="1" xfId="0" applyNumberFormat="1" applyFill="1" applyBorder="1"/>
    <xf numFmtId="169" fontId="0" fillId="27" borderId="1" xfId="0" applyNumberFormat="1" applyFill="1" applyBorder="1"/>
    <xf numFmtId="169" fontId="0" fillId="27" borderId="0" xfId="0" applyNumberFormat="1" applyFill="1"/>
    <xf numFmtId="170" fontId="0" fillId="27" borderId="1" xfId="3" applyNumberFormat="1" applyFont="1" applyFill="1" applyBorder="1"/>
    <xf numFmtId="0" fontId="6" fillId="4" borderId="9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5" xfId="0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17" fillId="9" borderId="0" xfId="0" applyFont="1" applyFill="1" applyBorder="1" applyAlignment="1">
      <alignment horizontal="center"/>
    </xf>
    <xf numFmtId="0" fontId="17" fillId="9" borderId="0" xfId="0" applyFont="1" applyFill="1" applyBorder="1" applyAlignment="1">
      <alignment horizontal="center" vertical="center" wrapText="1"/>
    </xf>
    <xf numFmtId="1" fontId="8" fillId="8" borderId="3" xfId="0" applyNumberFormat="1" applyFont="1" applyFill="1" applyBorder="1" applyAlignment="1">
      <alignment horizontal="center" vertical="center" wrapText="1"/>
    </xf>
    <xf numFmtId="1" fontId="8" fillId="8" borderId="6" xfId="0" applyNumberFormat="1" applyFont="1" applyFill="1" applyBorder="1" applyAlignment="1">
      <alignment horizontal="center" vertical="center" wrapText="1"/>
    </xf>
    <xf numFmtId="1" fontId="16" fillId="8" borderId="7" xfId="0" applyNumberFormat="1" applyFont="1" applyFill="1" applyBorder="1" applyAlignment="1">
      <alignment horizontal="center" vertical="center" wrapText="1"/>
    </xf>
    <xf numFmtId="1" fontId="16" fillId="8" borderId="9" xfId="0" applyNumberFormat="1" applyFont="1" applyFill="1" applyBorder="1" applyAlignment="1">
      <alignment horizontal="center" vertical="center" wrapText="1"/>
    </xf>
    <xf numFmtId="1" fontId="16" fillId="8" borderId="10" xfId="0" applyNumberFormat="1" applyFont="1" applyFill="1" applyBorder="1" applyAlignment="1">
      <alignment horizontal="center" vertical="center" wrapText="1"/>
    </xf>
    <xf numFmtId="2" fontId="8" fillId="8" borderId="3" xfId="0" applyNumberFormat="1" applyFont="1" applyFill="1" applyBorder="1" applyAlignment="1">
      <alignment horizontal="center" vertical="center" wrapText="1"/>
    </xf>
    <xf numFmtId="2" fontId="8" fillId="8" borderId="6" xfId="0" applyNumberFormat="1" applyFont="1" applyFill="1" applyBorder="1" applyAlignment="1">
      <alignment horizontal="center" vertical="center" wrapText="1"/>
    </xf>
    <xf numFmtId="2" fontId="7" fillId="8" borderId="3" xfId="0" applyNumberFormat="1" applyFont="1" applyFill="1" applyBorder="1" applyAlignment="1">
      <alignment horizontal="center" vertical="center"/>
    </xf>
    <xf numFmtId="2" fontId="7" fillId="8" borderId="6" xfId="0" applyNumberFormat="1" applyFont="1" applyFill="1" applyBorder="1" applyAlignment="1">
      <alignment horizontal="center" vertical="center"/>
    </xf>
    <xf numFmtId="1" fontId="7" fillId="8" borderId="3" xfId="0" applyNumberFormat="1" applyFont="1" applyFill="1" applyBorder="1" applyAlignment="1">
      <alignment horizontal="center" vertical="center"/>
    </xf>
    <xf numFmtId="1" fontId="7" fillId="8" borderId="6" xfId="0" applyNumberFormat="1" applyFont="1" applyFill="1" applyBorder="1" applyAlignment="1">
      <alignment horizontal="center" vertical="center"/>
    </xf>
    <xf numFmtId="1" fontId="7" fillId="8" borderId="3" xfId="0" applyNumberFormat="1" applyFont="1" applyFill="1" applyBorder="1" applyAlignment="1">
      <alignment horizontal="center" vertical="center" wrapText="1"/>
    </xf>
    <xf numFmtId="1" fontId="7" fillId="8" borderId="6" xfId="0" applyNumberFormat="1" applyFont="1" applyFill="1" applyBorder="1" applyAlignment="1">
      <alignment horizontal="center" vertical="center" wrapText="1"/>
    </xf>
    <xf numFmtId="1" fontId="6" fillId="7" borderId="7" xfId="0" applyNumberFormat="1" applyFont="1" applyFill="1" applyBorder="1" applyAlignment="1">
      <alignment horizontal="center" vertical="center" wrapText="1"/>
    </xf>
    <xf numFmtId="1" fontId="6" fillId="7" borderId="9" xfId="0" applyNumberFormat="1" applyFont="1" applyFill="1" applyBorder="1" applyAlignment="1">
      <alignment horizontal="center" vertical="center" wrapText="1"/>
    </xf>
    <xf numFmtId="1" fontId="17" fillId="9" borderId="0" xfId="0" applyNumberFormat="1" applyFont="1" applyFill="1" applyBorder="1" applyAlignment="1">
      <alignment horizontal="center"/>
    </xf>
    <xf numFmtId="1" fontId="17" fillId="9" borderId="0" xfId="0" applyNumberFormat="1" applyFont="1" applyFill="1" applyBorder="1" applyAlignment="1">
      <alignment horizontal="center" vertical="center" wrapText="1"/>
    </xf>
    <xf numFmtId="1" fontId="6" fillId="7" borderId="10" xfId="0" applyNumberFormat="1" applyFont="1" applyFill="1" applyBorder="1" applyAlignment="1">
      <alignment horizontal="center" vertical="center" wrapText="1"/>
    </xf>
    <xf numFmtId="1" fontId="6" fillId="7" borderId="5" xfId="0" applyNumberFormat="1" applyFont="1" applyFill="1" applyBorder="1" applyAlignment="1">
      <alignment horizontal="center" vertical="center" wrapText="1"/>
    </xf>
    <xf numFmtId="1" fontId="6" fillId="7" borderId="8" xfId="0" applyNumberFormat="1" applyFont="1" applyFill="1" applyBorder="1" applyAlignment="1">
      <alignment horizontal="center" vertical="center" wrapText="1"/>
    </xf>
    <xf numFmtId="1" fontId="49" fillId="21" borderId="1" xfId="0" applyNumberFormat="1" applyFont="1" applyFill="1" applyBorder="1" applyAlignment="1">
      <alignment horizontal="center" vertical="center"/>
    </xf>
    <xf numFmtId="1" fontId="49" fillId="21" borderId="1" xfId="0" applyNumberFormat="1" applyFont="1" applyFill="1" applyBorder="1" applyAlignment="1">
      <alignment horizontal="center" vertical="center" wrapText="1"/>
    </xf>
    <xf numFmtId="1" fontId="50" fillId="25" borderId="28" xfId="0" applyNumberFormat="1" applyFont="1" applyFill="1" applyBorder="1" applyAlignment="1">
      <alignment horizontal="center" vertical="center" wrapText="1"/>
    </xf>
    <xf numFmtId="1" fontId="50" fillId="25" borderId="6" xfId="0" applyNumberFormat="1" applyFont="1" applyFill="1" applyBorder="1" applyAlignment="1">
      <alignment horizontal="center" vertical="center" wrapText="1"/>
    </xf>
    <xf numFmtId="1" fontId="47" fillId="21" borderId="1" xfId="0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 textRotation="90"/>
    </xf>
    <xf numFmtId="0" fontId="21" fillId="0" borderId="0" xfId="0" applyFont="1" applyBorder="1" applyAlignment="1">
      <alignment horizontal="center" vertical="center" textRotation="90"/>
    </xf>
    <xf numFmtId="0" fontId="21" fillId="0" borderId="18" xfId="0" applyFont="1" applyBorder="1" applyAlignment="1">
      <alignment horizontal="center" vertical="center" textRotation="90"/>
    </xf>
    <xf numFmtId="4" fontId="0" fillId="0" borderId="0" xfId="0" applyNumberFormat="1"/>
  </cellXfs>
  <cellStyles count="71">
    <cellStyle name="ANCLAS,REZONES Y SUS PARTES,DE FUNDICION,DE HIERRO O DE ACERO" xfId="1"/>
    <cellStyle name="Estilo 1" xfId="38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6" builtinId="8"/>
    <cellStyle name="Hipervínculo 2" xfId="37"/>
    <cellStyle name="Hipervínculo 3" xfId="52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54" builtinId="9" hidden="1"/>
    <cellStyle name="Hipervínculo visitado" xfId="57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55" builtinId="9" hidden="1"/>
    <cellStyle name="Hipervínculo visitado" xfId="53" builtinId="9" hidden="1"/>
    <cellStyle name="Hipervínculo visitado" xfId="56" builtinId="9" hidden="1"/>
    <cellStyle name="Hyperlink 2" xfId="63"/>
    <cellStyle name="Millares" xfId="17" builtinId="3"/>
    <cellStyle name="Millares 11" xfId="67"/>
    <cellStyle name="Millares 2" xfId="45"/>
    <cellStyle name="Millares 3" xfId="4"/>
    <cellStyle name="Millares 4" xfId="40"/>
    <cellStyle name="Millares 5" xfId="68"/>
    <cellStyle name="Normal" xfId="0" builtinId="0"/>
    <cellStyle name="Normal 2" xfId="34"/>
    <cellStyle name="Normal 2 2" xfId="39"/>
    <cellStyle name="Normal 3" xfId="46"/>
    <cellStyle name="Normal 3 2" xfId="51"/>
    <cellStyle name="Normal 4" xfId="62"/>
    <cellStyle name="Normal_Hoja1" xfId="2"/>
    <cellStyle name="Porcentaje" xfId="3" builtinId="5"/>
    <cellStyle name="Porcentaje 2" xfId="35"/>
    <cellStyle name="Porcentaje 2 2" xfId="70"/>
    <cellStyle name="Porcentaje 3" xfId="69"/>
  </cellStyles>
  <dxfs count="0"/>
  <tableStyles count="0" defaultTableStyle="TableStyleMedium2" defaultPivotStyle="PivotStyleLight16"/>
  <colors>
    <mruColors>
      <color rgb="FF005288"/>
      <color rgb="FF47AB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74806134593495E-2"/>
          <c:y val="4.2897078852869912E-2"/>
          <c:w val="0.7089586317466644"/>
          <c:h val="0.90368535793329141"/>
        </c:manualLayout>
      </c:layout>
      <c:lineChart>
        <c:grouping val="standard"/>
        <c:varyColors val="0"/>
        <c:ser>
          <c:idx val="0"/>
          <c:order val="0"/>
          <c:tx>
            <c:strRef>
              <c:f>'Ingreso estructural no oil'!$BO$2</c:f>
              <c:strCache>
                <c:ptCount val="1"/>
                <c:pt idx="0">
                  <c:v>Y tributario estructural</c:v>
                </c:pt>
              </c:strCache>
            </c:strRef>
          </c:tx>
          <c:marker>
            <c:symbol val="none"/>
          </c:marker>
          <c:val>
            <c:numRef>
              <c:f>'Ingreso estructural no oil'!$BO$3:$BO$79</c:f>
              <c:numCache>
                <c:formatCode>0.0</c:formatCode>
                <c:ptCount val="77"/>
                <c:pt idx="1">
                  <c:v>2289.0258347009853</c:v>
                </c:pt>
                <c:pt idx="2">
                  <c:v>2154.59864270244</c:v>
                </c:pt>
                <c:pt idx="3">
                  <c:v>1984.3273144387226</c:v>
                </c:pt>
                <c:pt idx="4">
                  <c:v>1766.3593215589408</c:v>
                </c:pt>
                <c:pt idx="5">
                  <c:v>1687.5033542707433</c:v>
                </c:pt>
                <c:pt idx="6">
                  <c:v>1640.9500648955764</c:v>
                </c:pt>
                <c:pt idx="7">
                  <c:v>1997.5701408300897</c:v>
                </c:pt>
                <c:pt idx="8">
                  <c:v>2184.2509415701857</c:v>
                </c:pt>
                <c:pt idx="9">
                  <c:v>2100.7341801549201</c:v>
                </c:pt>
                <c:pt idx="10">
                  <c:v>2331.9505183103142</c:v>
                </c:pt>
                <c:pt idx="11">
                  <c:v>2481.9829944174621</c:v>
                </c:pt>
                <c:pt idx="12">
                  <c:v>2542.2998423210852</c:v>
                </c:pt>
                <c:pt idx="13">
                  <c:v>2697.1036519260829</c:v>
                </c:pt>
                <c:pt idx="14">
                  <c:v>2863.1261257907108</c:v>
                </c:pt>
                <c:pt idx="15">
                  <c:v>3019.9932742961078</c:v>
                </c:pt>
                <c:pt idx="16">
                  <c:v>3157.8052101945659</c:v>
                </c:pt>
                <c:pt idx="17">
                  <c:v>3240.6939393101975</c:v>
                </c:pt>
                <c:pt idx="18">
                  <c:v>3179.1279913896415</c:v>
                </c:pt>
                <c:pt idx="19">
                  <c:v>3141.3555004326781</c:v>
                </c:pt>
                <c:pt idx="20">
                  <c:v>3238.0261479485744</c:v>
                </c:pt>
                <c:pt idx="21">
                  <c:v>3303.4018597605755</c:v>
                </c:pt>
                <c:pt idx="22">
                  <c:v>3371.3568303525362</c:v>
                </c:pt>
                <c:pt idx="23">
                  <c:v>3476.0163805190191</c:v>
                </c:pt>
                <c:pt idx="24">
                  <c:v>3593.2532177421158</c:v>
                </c:pt>
                <c:pt idx="25">
                  <c:v>3692.1920873666149</c:v>
                </c:pt>
                <c:pt idx="26">
                  <c:v>3914.8667030224169</c:v>
                </c:pt>
                <c:pt idx="27">
                  <c:v>4152.4848113488961</c:v>
                </c:pt>
                <c:pt idx="28">
                  <c:v>4268.6518174087669</c:v>
                </c:pt>
                <c:pt idx="29">
                  <c:v>4552.582980584677</c:v>
                </c:pt>
                <c:pt idx="30">
                  <c:v>4784.8470568863231</c:v>
                </c:pt>
                <c:pt idx="31">
                  <c:v>4929.4726068169111</c:v>
                </c:pt>
                <c:pt idx="32">
                  <c:v>5126.0714829881717</c:v>
                </c:pt>
                <c:pt idx="33">
                  <c:v>5305.5157388807638</c:v>
                </c:pt>
                <c:pt idx="34">
                  <c:v>5382.5314282952695</c:v>
                </c:pt>
                <c:pt idx="35">
                  <c:v>6267.8926756193605</c:v>
                </c:pt>
                <c:pt idx="36">
                  <c:v>6658.9655429866634</c:v>
                </c:pt>
                <c:pt idx="37">
                  <c:v>7244.3559808567625</c:v>
                </c:pt>
                <c:pt idx="38">
                  <c:v>7904.4591255656151</c:v>
                </c:pt>
                <c:pt idx="39">
                  <c:v>8081.5493956432665</c:v>
                </c:pt>
                <c:pt idx="40">
                  <c:v>8348.0041971712017</c:v>
                </c:pt>
                <c:pt idx="41">
                  <c:v>8194.5477221571491</c:v>
                </c:pt>
                <c:pt idx="42">
                  <c:v>10280.839036665357</c:v>
                </c:pt>
                <c:pt idx="43">
                  <c:v>9705.3012482891718</c:v>
                </c:pt>
                <c:pt idx="44">
                  <c:v>9228.4724528059633</c:v>
                </c:pt>
                <c:pt idx="45">
                  <c:v>10217.182382502531</c:v>
                </c:pt>
                <c:pt idx="46">
                  <c:v>10962.167137008893</c:v>
                </c:pt>
                <c:pt idx="47">
                  <c:v>11098.574085899274</c:v>
                </c:pt>
                <c:pt idx="48">
                  <c:v>11092.254265679592</c:v>
                </c:pt>
                <c:pt idx="49">
                  <c:v>10708.585836524921</c:v>
                </c:pt>
                <c:pt idx="50">
                  <c:v>10802.661662320232</c:v>
                </c:pt>
                <c:pt idx="51">
                  <c:v>10972.063452500302</c:v>
                </c:pt>
                <c:pt idx="52">
                  <c:v>11297.809444540633</c:v>
                </c:pt>
                <c:pt idx="53">
                  <c:v>11770.818091276644</c:v>
                </c:pt>
                <c:pt idx="54">
                  <c:v>12401.051452762917</c:v>
                </c:pt>
                <c:pt idx="55">
                  <c:v>13024.9627557679</c:v>
                </c:pt>
                <c:pt idx="56">
                  <c:v>13540.100140047332</c:v>
                </c:pt>
                <c:pt idx="57">
                  <c:v>13858.010905858737</c:v>
                </c:pt>
                <c:pt idx="58">
                  <c:v>14638.745062486514</c:v>
                </c:pt>
                <c:pt idx="59">
                  <c:v>15121.276312940669</c:v>
                </c:pt>
                <c:pt idx="60">
                  <c:v>15527.525488452129</c:v>
                </c:pt>
                <c:pt idx="61">
                  <c:v>15827.763255812573</c:v>
                </c:pt>
                <c:pt idx="62">
                  <c:v>15974.201886674156</c:v>
                </c:pt>
                <c:pt idx="63">
                  <c:v>16179.514758761243</c:v>
                </c:pt>
                <c:pt idx="64">
                  <c:v>16289.228856211375</c:v>
                </c:pt>
                <c:pt idx="65">
                  <c:v>16332.586794733939</c:v>
                </c:pt>
                <c:pt idx="66">
                  <c:v>17017.388829814299</c:v>
                </c:pt>
                <c:pt idx="67">
                  <c:v>17182.1286005074</c:v>
                </c:pt>
                <c:pt idx="68">
                  <c:v>17282.157372135302</c:v>
                </c:pt>
                <c:pt idx="69">
                  <c:v>17316.7767795447</c:v>
                </c:pt>
                <c:pt idx="70">
                  <c:v>17296.851883861</c:v>
                </c:pt>
                <c:pt idx="71">
                  <c:v>17240.8949784141</c:v>
                </c:pt>
                <c:pt idx="72">
                  <c:v>17168.615837695299</c:v>
                </c:pt>
                <c:pt idx="73">
                  <c:v>17093.598286411801</c:v>
                </c:pt>
                <c:pt idx="74">
                  <c:v>16669.076172425684</c:v>
                </c:pt>
                <c:pt idx="75">
                  <c:v>16722.821638734782</c:v>
                </c:pt>
                <c:pt idx="76">
                  <c:v>16611.018066638499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27-4FC7-97F1-DB3CCC9AAEF9}"/>
            </c:ext>
          </c:extLst>
        </c:ser>
        <c:ser>
          <c:idx val="1"/>
          <c:order val="1"/>
          <c:tx>
            <c:strRef>
              <c:f>'Ingreso estructural no oil'!$BP$2</c:f>
              <c:strCache>
                <c:ptCount val="1"/>
                <c:pt idx="0">
                  <c:v>FILTRO</c:v>
                </c:pt>
              </c:strCache>
            </c:strRef>
          </c:tx>
          <c:marker>
            <c:symbol val="none"/>
          </c:marker>
          <c:val>
            <c:numRef>
              <c:f>'Ingreso estructural no oil'!$BP$3:$BP$79</c:f>
              <c:numCache>
                <c:formatCode>General</c:formatCode>
                <c:ptCount val="77"/>
                <c:pt idx="0">
                  <c:v>1926.8318445310099</c:v>
                </c:pt>
                <c:pt idx="1">
                  <c:v>1867.06658067167</c:v>
                </c:pt>
                <c:pt idx="2">
                  <c:v>1811.1699983670201</c:v>
                </c:pt>
                <c:pt idx="3">
                  <c:v>1765.92711336503</c:v>
                </c:pt>
                <c:pt idx="4">
                  <c:v>1739.5882414299999</c:v>
                </c:pt>
                <c:pt idx="5">
                  <c:v>1739.8174271926</c:v>
                </c:pt>
                <c:pt idx="6">
                  <c:v>1770.94183286917</c:v>
                </c:pt>
                <c:pt idx="7">
                  <c:v>1833.61944640414</c:v>
                </c:pt>
                <c:pt idx="8">
                  <c:v>1925.0218374132401</c:v>
                </c:pt>
                <c:pt idx="9">
                  <c:v>2039.7853810481799</c:v>
                </c:pt>
                <c:pt idx="10">
                  <c:v>2171.06323408652</c:v>
                </c:pt>
                <c:pt idx="11">
                  <c:v>2311.21669949535</c:v>
                </c:pt>
                <c:pt idx="12">
                  <c:v>2453.4844479008698</c:v>
                </c:pt>
                <c:pt idx="13">
                  <c:v>2592.3779829343498</c:v>
                </c:pt>
                <c:pt idx="14">
                  <c:v>2723.2069637480399</c:v>
                </c:pt>
                <c:pt idx="15">
                  <c:v>2842.53226966487</c:v>
                </c:pt>
                <c:pt idx="16">
                  <c:v>2948.5597103702498</c:v>
                </c:pt>
                <c:pt idx="17">
                  <c:v>3041.5677728529799</c:v>
                </c:pt>
                <c:pt idx="18">
                  <c:v>3124.1233469981198</c:v>
                </c:pt>
                <c:pt idx="19">
                  <c:v>3200.8576449622201</c:v>
                </c:pt>
                <c:pt idx="20">
                  <c:v>3277.0606454318499</c:v>
                </c:pt>
                <c:pt idx="21">
                  <c:v>3357.5767506439502</c:v>
                </c:pt>
                <c:pt idx="22">
                  <c:v>3446.5687563811598</c:v>
                </c:pt>
                <c:pt idx="23">
                  <c:v>3547.32469091964</c:v>
                </c:pt>
                <c:pt idx="24">
                  <c:v>3662.2768949717702</c:v>
                </c:pt>
                <c:pt idx="25">
                  <c:v>3793.2704623407199</c:v>
                </c:pt>
                <c:pt idx="26">
                  <c:v>3941.7287178799502</c:v>
                </c:pt>
                <c:pt idx="27">
                  <c:v>4108.3142818195101</c:v>
                </c:pt>
                <c:pt idx="28">
                  <c:v>4294.0774872106504</c:v>
                </c:pt>
                <c:pt idx="29">
                  <c:v>4500.8305242864199</c:v>
                </c:pt>
                <c:pt idx="30">
                  <c:v>4730.25580840778</c:v>
                </c:pt>
                <c:pt idx="31">
                  <c:v>4984.8544496927898</c:v>
                </c:pt>
                <c:pt idx="32">
                  <c:v>5267.8300001754696</c:v>
                </c:pt>
                <c:pt idx="33">
                  <c:v>5582.1114673928996</c:v>
                </c:pt>
                <c:pt idx="34">
                  <c:v>5929.6295588803996</c:v>
                </c:pt>
                <c:pt idx="35">
                  <c:v>6309.5748674993702</c:v>
                </c:pt>
                <c:pt idx="36">
                  <c:v>6715.4616905224102</c:v>
                </c:pt>
                <c:pt idx="37">
                  <c:v>7136.8525765471204</c:v>
                </c:pt>
                <c:pt idx="38">
                  <c:v>7560.8694572658796</c:v>
                </c:pt>
                <c:pt idx="39">
                  <c:v>7974.6607386056003</c:v>
                </c:pt>
                <c:pt idx="40">
                  <c:v>8368.7951319205204</c:v>
                </c:pt>
                <c:pt idx="41">
                  <c:v>8735.3467411788406</c:v>
                </c:pt>
                <c:pt idx="42">
                  <c:v>9070.7757190295397</c:v>
                </c:pt>
                <c:pt idx="43">
                  <c:v>9377.4117507098108</c:v>
                </c:pt>
                <c:pt idx="44">
                  <c:v>9661.0807642665604</c:v>
                </c:pt>
                <c:pt idx="45">
                  <c:v>9929.3105702395806</c:v>
                </c:pt>
                <c:pt idx="46">
                  <c:v>10186.008171526</c:v>
                </c:pt>
                <c:pt idx="47">
                  <c:v>10434.174465320501</c:v>
                </c:pt>
                <c:pt idx="48">
                  <c:v>10678.8062671027</c:v>
                </c:pt>
                <c:pt idx="49">
                  <c:v>10928.226647698801</c:v>
                </c:pt>
                <c:pt idx="50">
                  <c:v>11193.857615264</c:v>
                </c:pt>
                <c:pt idx="51">
                  <c:v>11485.309911476699</c:v>
                </c:pt>
                <c:pt idx="52">
                  <c:v>11808.236701862401</c:v>
                </c:pt>
                <c:pt idx="53">
                  <c:v>12163.436052831999</c:v>
                </c:pt>
                <c:pt idx="54">
                  <c:v>12547.1206637777</c:v>
                </c:pt>
                <c:pt idx="55">
                  <c:v>12952.4808735636</c:v>
                </c:pt>
                <c:pt idx="56">
                  <c:v>13372.524814415599</c:v>
                </c:pt>
                <c:pt idx="57">
                  <c:v>13801.6648098244</c:v>
                </c:pt>
                <c:pt idx="58">
                  <c:v>14236.1429351364</c:v>
                </c:pt>
                <c:pt idx="59">
                  <c:v>14668.557617599499</c:v>
                </c:pt>
                <c:pt idx="60">
                  <c:v>15089.8458551106</c:v>
                </c:pt>
                <c:pt idx="61">
                  <c:v>15491.403069390401</c:v>
                </c:pt>
                <c:pt idx="62">
                  <c:v>15866.9362236086</c:v>
                </c:pt>
                <c:pt idx="63">
                  <c:v>16212.4062502409</c:v>
                </c:pt>
                <c:pt idx="64">
                  <c:v>16523.518719527001</c:v>
                </c:pt>
                <c:pt idx="65">
                  <c:v>16794.551139204101</c:v>
                </c:pt>
                <c:pt idx="66">
                  <c:v>17017.388829814299</c:v>
                </c:pt>
                <c:pt idx="67">
                  <c:v>17182.1286005074</c:v>
                </c:pt>
                <c:pt idx="68">
                  <c:v>17282.157372135302</c:v>
                </c:pt>
                <c:pt idx="69">
                  <c:v>17316.7767795447</c:v>
                </c:pt>
                <c:pt idx="70">
                  <c:v>17296.851883861</c:v>
                </c:pt>
                <c:pt idx="71">
                  <c:v>17240.8949784141</c:v>
                </c:pt>
                <c:pt idx="72">
                  <c:v>17168.615837695299</c:v>
                </c:pt>
                <c:pt idx="73">
                  <c:v>17093.598286411801</c:v>
                </c:pt>
                <c:pt idx="74">
                  <c:v>17019.617990893999</c:v>
                </c:pt>
                <c:pt idx="75">
                  <c:v>16946.6946346078</c:v>
                </c:pt>
                <c:pt idx="76">
                  <c:v>16873.055721110599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27-4FC7-97F1-DB3CCC9AAEF9}"/>
            </c:ext>
          </c:extLst>
        </c:ser>
        <c:ser>
          <c:idx val="2"/>
          <c:order val="2"/>
          <c:tx>
            <c:strRef>
              <c:f>'Ingreso estructural no oil'!$BB$2</c:f>
              <c:strCache>
                <c:ptCount val="1"/>
                <c:pt idx="0">
                  <c:v>Y NO PETROLERO OBSERVADO</c:v>
                </c:pt>
              </c:strCache>
            </c:strRef>
          </c:tx>
          <c:marker>
            <c:symbol val="none"/>
          </c:marker>
          <c:val>
            <c:numRef>
              <c:f>'Ingreso estructural no oil'!$BB$3:$BB$79</c:f>
              <c:numCache>
                <c:formatCode>0.00</c:formatCode>
                <c:ptCount val="77"/>
                <c:pt idx="0">
                  <c:v>2332.6999999999998</c:v>
                </c:pt>
                <c:pt idx="1">
                  <c:v>2268.3000000000002</c:v>
                </c:pt>
                <c:pt idx="2">
                  <c:v>2155.5</c:v>
                </c:pt>
                <c:pt idx="3">
                  <c:v>1980.6000000000001</c:v>
                </c:pt>
                <c:pt idx="4">
                  <c:v>1744</c:v>
                </c:pt>
                <c:pt idx="5">
                  <c:v>1658.2</c:v>
                </c:pt>
                <c:pt idx="6">
                  <c:v>1653</c:v>
                </c:pt>
                <c:pt idx="7">
                  <c:v>1768.2</c:v>
                </c:pt>
                <c:pt idx="8">
                  <c:v>1940.9</c:v>
                </c:pt>
                <c:pt idx="9">
                  <c:v>2101.8000000000002</c:v>
                </c:pt>
                <c:pt idx="10">
                  <c:v>2359.4</c:v>
                </c:pt>
                <c:pt idx="11">
                  <c:v>2500.6999999999998</c:v>
                </c:pt>
                <c:pt idx="12">
                  <c:v>2548.0999999999995</c:v>
                </c:pt>
                <c:pt idx="13">
                  <c:v>2717.5</c:v>
                </c:pt>
                <c:pt idx="14">
                  <c:v>2887.7</c:v>
                </c:pt>
                <c:pt idx="15">
                  <c:v>3049.8</c:v>
                </c:pt>
                <c:pt idx="16">
                  <c:v>3177.4</c:v>
                </c:pt>
                <c:pt idx="17">
                  <c:v>3248</c:v>
                </c:pt>
                <c:pt idx="18">
                  <c:v>3190</c:v>
                </c:pt>
                <c:pt idx="19">
                  <c:v>3156.3209241206423</c:v>
                </c:pt>
                <c:pt idx="20">
                  <c:v>3208.8726820809443</c:v>
                </c:pt>
                <c:pt idx="21">
                  <c:v>3270.0761683379997</c:v>
                </c:pt>
                <c:pt idx="22">
                  <c:v>3361.0148635122996</c:v>
                </c:pt>
                <c:pt idx="23">
                  <c:v>3488.6363176094601</c:v>
                </c:pt>
                <c:pt idx="24">
                  <c:v>3620.0756974992482</c:v>
                </c:pt>
                <c:pt idx="25">
                  <c:v>3717.1854667400667</c:v>
                </c:pt>
                <c:pt idx="26">
                  <c:v>3980.5111989489942</c:v>
                </c:pt>
                <c:pt idx="27">
                  <c:v>4184.5108297907645</c:v>
                </c:pt>
                <c:pt idx="28">
                  <c:v>4281.0710182080475</c:v>
                </c:pt>
                <c:pt idx="29">
                  <c:v>4582.6756847708857</c:v>
                </c:pt>
                <c:pt idx="30">
                  <c:v>4800.4635828791879</c:v>
                </c:pt>
                <c:pt idx="31">
                  <c:v>4957.4162368018569</c:v>
                </c:pt>
                <c:pt idx="32">
                  <c:v>5167.9786874556721</c:v>
                </c:pt>
                <c:pt idx="33">
                  <c:v>5308.0728698820676</c:v>
                </c:pt>
                <c:pt idx="34">
                  <c:v>5361.9936393237667</c:v>
                </c:pt>
                <c:pt idx="35">
                  <c:v>5914.4241111549691</c:v>
                </c:pt>
                <c:pt idx="36">
                  <c:v>6471.40327825642</c:v>
                </c:pt>
                <c:pt idx="37">
                  <c:v>7139.4826881491426</c:v>
                </c:pt>
                <c:pt idx="38">
                  <c:v>7902.9012924372264</c:v>
                </c:pt>
                <c:pt idx="39">
                  <c:v>8125.2255533806429</c:v>
                </c:pt>
                <c:pt idx="40">
                  <c:v>8807.3644529467092</c:v>
                </c:pt>
                <c:pt idx="41">
                  <c:v>9322.3038221512597</c:v>
                </c:pt>
                <c:pt idx="42">
                  <c:v>9420.4437452757975</c:v>
                </c:pt>
                <c:pt idx="43">
                  <c:v>9547.6341537328735</c:v>
                </c:pt>
                <c:pt idx="44">
                  <c:v>9299.0179616087171</c:v>
                </c:pt>
                <c:pt idx="45">
                  <c:v>9838.6750869627285</c:v>
                </c:pt>
                <c:pt idx="46">
                  <c:v>10385.560136779959</c:v>
                </c:pt>
                <c:pt idx="47">
                  <c:v>10766.802585942334</c:v>
                </c:pt>
                <c:pt idx="48">
                  <c:v>10988.65610890837</c:v>
                </c:pt>
                <c:pt idx="49">
                  <c:v>10747.117083078358</c:v>
                </c:pt>
                <c:pt idx="50">
                  <c:v>10798.079683565</c:v>
                </c:pt>
                <c:pt idx="51">
                  <c:v>10999.759275261174</c:v>
                </c:pt>
                <c:pt idx="52">
                  <c:v>11349.74718748456</c:v>
                </c:pt>
                <c:pt idx="53">
                  <c:v>11861.214628463686</c:v>
                </c:pt>
                <c:pt idx="54">
                  <c:v>12528.890119847005</c:v>
                </c:pt>
                <c:pt idx="55">
                  <c:v>13092.86709693125</c:v>
                </c:pt>
                <c:pt idx="56">
                  <c:v>13555.516252481437</c:v>
                </c:pt>
                <c:pt idx="57">
                  <c:v>13437.27531065547</c:v>
                </c:pt>
                <c:pt idx="58">
                  <c:v>14070.005450082428</c:v>
                </c:pt>
                <c:pt idx="59">
                  <c:v>14714.393809965695</c:v>
                </c:pt>
                <c:pt idx="60">
                  <c:v>15321.044438561867</c:v>
                </c:pt>
                <c:pt idx="61">
                  <c:v>15716.842233430329</c:v>
                </c:pt>
                <c:pt idx="62">
                  <c:v>15841.425478330329</c:v>
                </c:pt>
                <c:pt idx="63">
                  <c:v>16069.551225956329</c:v>
                </c:pt>
                <c:pt idx="64">
                  <c:v>16284.281896046892</c:v>
                </c:pt>
                <c:pt idx="65">
                  <c:v>16615.734751699049</c:v>
                </c:pt>
                <c:pt idx="66">
                  <c:v>17345.873507663327</c:v>
                </c:pt>
                <c:pt idx="67">
                  <c:v>17772.563245826939</c:v>
                </c:pt>
                <c:pt idx="68">
                  <c:v>18437.497669662182</c:v>
                </c:pt>
                <c:pt idx="69">
                  <c:v>18080.484656189208</c:v>
                </c:pt>
                <c:pt idx="70">
                  <c:v>17416.062706631634</c:v>
                </c:pt>
                <c:pt idx="71">
                  <c:v>16628.293654573547</c:v>
                </c:pt>
                <c:pt idx="72">
                  <c:v>16187.760958306284</c:v>
                </c:pt>
                <c:pt idx="73">
                  <c:v>16717.976840420139</c:v>
                </c:pt>
                <c:pt idx="74">
                  <c:v>16840.34227492967</c:v>
                </c:pt>
                <c:pt idx="75">
                  <c:v>17195.491494738351</c:v>
                </c:pt>
                <c:pt idx="76">
                  <c:v>16493.371919344703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27-4FC7-97F1-DB3CCC9AA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812032"/>
        <c:axId val="96830208"/>
      </c:lineChart>
      <c:catAx>
        <c:axId val="9681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96830208"/>
        <c:crosses val="autoZero"/>
        <c:auto val="1"/>
        <c:lblAlgn val="ctr"/>
        <c:lblOffset val="100"/>
        <c:noMultiLvlLbl val="0"/>
      </c:catAx>
      <c:valAx>
        <c:axId val="968302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681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'Gasto estructural'!$AL$4:$AL$80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estructural'!$AM$4:$AM$80</c:f>
              <c:numCache>
                <c:formatCode>0</c:formatCode>
                <c:ptCount val="72"/>
                <c:pt idx="0">
                  <c:v>286.7</c:v>
                </c:pt>
                <c:pt idx="1">
                  <c:v>225.4</c:v>
                </c:pt>
                <c:pt idx="2">
                  <c:v>218.20000000000002</c:v>
                </c:pt>
                <c:pt idx="3">
                  <c:v>233.7</c:v>
                </c:pt>
                <c:pt idx="4">
                  <c:v>457.3</c:v>
                </c:pt>
                <c:pt idx="5">
                  <c:v>602</c:v>
                </c:pt>
                <c:pt idx="6">
                  <c:v>697.2</c:v>
                </c:pt>
                <c:pt idx="7">
                  <c:v>794.1</c:v>
                </c:pt>
                <c:pt idx="8">
                  <c:v>579.5</c:v>
                </c:pt>
                <c:pt idx="9">
                  <c:v>604.9</c:v>
                </c:pt>
                <c:pt idx="10">
                  <c:v>613</c:v>
                </c:pt>
                <c:pt idx="11">
                  <c:v>616</c:v>
                </c:pt>
                <c:pt idx="12">
                  <c:v>727.40000000000009</c:v>
                </c:pt>
                <c:pt idx="13">
                  <c:v>692.40000000000009</c:v>
                </c:pt>
                <c:pt idx="14">
                  <c:v>679.2</c:v>
                </c:pt>
                <c:pt idx="15">
                  <c:v>645.9</c:v>
                </c:pt>
                <c:pt idx="16">
                  <c:v>618.4391575384592</c:v>
                </c:pt>
                <c:pt idx="17">
                  <c:v>622.25570679855787</c:v>
                </c:pt>
                <c:pt idx="18">
                  <c:v>655.94966289031413</c:v>
                </c:pt>
                <c:pt idx="19">
                  <c:v>684.79983014188065</c:v>
                </c:pt>
                <c:pt idx="20">
                  <c:v>673.79249572160256</c:v>
                </c:pt>
                <c:pt idx="21">
                  <c:v>713.03504687060729</c:v>
                </c:pt>
                <c:pt idx="22">
                  <c:v>711.02753340713309</c:v>
                </c:pt>
                <c:pt idx="23">
                  <c:v>682.96034104201885</c:v>
                </c:pt>
                <c:pt idx="24">
                  <c:v>744.62851792383799</c:v>
                </c:pt>
                <c:pt idx="25">
                  <c:v>743.53691751473445</c:v>
                </c:pt>
                <c:pt idx="26">
                  <c:v>780.05047488645232</c:v>
                </c:pt>
                <c:pt idx="27">
                  <c:v>839.66750000000002</c:v>
                </c:pt>
                <c:pt idx="28">
                  <c:v>849.617656635</c:v>
                </c:pt>
                <c:pt idx="29">
                  <c:v>859.506214</c:v>
                </c:pt>
                <c:pt idx="30">
                  <c:v>890.63476401500009</c:v>
                </c:pt>
                <c:pt idx="31">
                  <c:v>955.67292860000009</c:v>
                </c:pt>
                <c:pt idx="32">
                  <c:v>1157.1818723150002</c:v>
                </c:pt>
                <c:pt idx="33">
                  <c:v>1382.3156306000001</c:v>
                </c:pt>
                <c:pt idx="34">
                  <c:v>1452.9358409650001</c:v>
                </c:pt>
                <c:pt idx="35">
                  <c:v>1620.6822839298025</c:v>
                </c:pt>
                <c:pt idx="36">
                  <c:v>1550.1374837698022</c:v>
                </c:pt>
                <c:pt idx="37">
                  <c:v>1503.7671141498022</c:v>
                </c:pt>
                <c:pt idx="38">
                  <c:v>1683.5280990598023</c:v>
                </c:pt>
                <c:pt idx="39">
                  <c:v>1755.0321730400001</c:v>
                </c:pt>
                <c:pt idx="40">
                  <c:v>1780.9590835094134</c:v>
                </c:pt>
                <c:pt idx="41">
                  <c:v>2044.6618248583218</c:v>
                </c:pt>
                <c:pt idx="42">
                  <c:v>2287.0746083591725</c:v>
                </c:pt>
                <c:pt idx="43">
                  <c:v>2535.5911595038742</c:v>
                </c:pt>
                <c:pt idx="44">
                  <c:v>2984.6519773444616</c:v>
                </c:pt>
                <c:pt idx="45">
                  <c:v>3040.8061886255527</c:v>
                </c:pt>
                <c:pt idx="46">
                  <c:v>2943.0020704947019</c:v>
                </c:pt>
                <c:pt idx="47">
                  <c:v>2826.6774008100001</c:v>
                </c:pt>
                <c:pt idx="48">
                  <c:v>2734.8320520460002</c:v>
                </c:pt>
                <c:pt idx="49">
                  <c:v>2787.350700896</c:v>
                </c:pt>
                <c:pt idx="50">
                  <c:v>2862.8291474160001</c:v>
                </c:pt>
                <c:pt idx="51">
                  <c:v>3050.7940755460004</c:v>
                </c:pt>
                <c:pt idx="52">
                  <c:v>3030.43473756</c:v>
                </c:pt>
                <c:pt idx="53">
                  <c:v>2906.9899498400005</c:v>
                </c:pt>
                <c:pt idx="54">
                  <c:v>3144.1206787849997</c:v>
                </c:pt>
                <c:pt idx="55">
                  <c:v>3048.1307795950001</c:v>
                </c:pt>
                <c:pt idx="56">
                  <c:v>3161.9434843649997</c:v>
                </c:pt>
                <c:pt idx="57">
                  <c:v>3300.3411353150004</c:v>
                </c:pt>
                <c:pt idx="58">
                  <c:v>3457.3972966799997</c:v>
                </c:pt>
                <c:pt idx="59">
                  <c:v>3522.8532646499998</c:v>
                </c:pt>
                <c:pt idx="60">
                  <c:v>3672.3685713700002</c:v>
                </c:pt>
                <c:pt idx="61">
                  <c:v>3872.1479762999998</c:v>
                </c:pt>
                <c:pt idx="62">
                  <c:v>3913.1863588200004</c:v>
                </c:pt>
                <c:pt idx="63">
                  <c:v>4123.8908715920406</c:v>
                </c:pt>
                <c:pt idx="64">
                  <c:v>4168.6216757920411</c:v>
                </c:pt>
                <c:pt idx="65">
                  <c:v>4078.3112836420405</c:v>
                </c:pt>
                <c:pt idx="66">
                  <c:v>3666.6476525020407</c:v>
                </c:pt>
                <c:pt idx="67">
                  <c:v>3485.0398881499996</c:v>
                </c:pt>
                <c:pt idx="68">
                  <c:v>3291.6013601699997</c:v>
                </c:pt>
                <c:pt idx="69">
                  <c:v>3217.95844511</c:v>
                </c:pt>
                <c:pt idx="70">
                  <c:v>3179.2144832499998</c:v>
                </c:pt>
                <c:pt idx="71">
                  <c:v>3595.01313725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EC-4356-8B5F-47006AE4052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'Gasto estructural'!$AL$4:$AL$80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estructural'!$AP$4:$AP$80</c:f>
              <c:numCache>
                <c:formatCode>0</c:formatCode>
                <c:ptCount val="72"/>
                <c:pt idx="0">
                  <c:v>269.64112922168408</c:v>
                </c:pt>
                <c:pt idx="1">
                  <c:v>265.1396346003055</c:v>
                </c:pt>
                <c:pt idx="2">
                  <c:v>210.52106311306474</c:v>
                </c:pt>
                <c:pt idx="3">
                  <c:v>249.63596307839038</c:v>
                </c:pt>
                <c:pt idx="4">
                  <c:v>454.93347655706009</c:v>
                </c:pt>
                <c:pt idx="5">
                  <c:v>586.62144135261826</c:v>
                </c:pt>
                <c:pt idx="6">
                  <c:v>685.5738220916071</c:v>
                </c:pt>
                <c:pt idx="7">
                  <c:v>786.82515056239106</c:v>
                </c:pt>
                <c:pt idx="8">
                  <c:v>597.24269922371172</c:v>
                </c:pt>
                <c:pt idx="9">
                  <c:v>601.7892914625096</c:v>
                </c:pt>
                <c:pt idx="10">
                  <c:v>611.74536764796642</c:v>
                </c:pt>
                <c:pt idx="11">
                  <c:v>615.57188588620181</c:v>
                </c:pt>
                <c:pt idx="12">
                  <c:v>715.27058889474108</c:v>
                </c:pt>
                <c:pt idx="13">
                  <c:v>685.24990272901243</c:v>
                </c:pt>
                <c:pt idx="14">
                  <c:v>672.53928082540813</c:v>
                </c:pt>
                <c:pt idx="15">
                  <c:v>629.87452226536266</c:v>
                </c:pt>
                <c:pt idx="16">
                  <c:v>605.17217398162802</c:v>
                </c:pt>
                <c:pt idx="17">
                  <c:v>622.67217262959332</c:v>
                </c:pt>
                <c:pt idx="18">
                  <c:v>652.60188596875753</c:v>
                </c:pt>
                <c:pt idx="19">
                  <c:v>678.98957429144548</c:v>
                </c:pt>
                <c:pt idx="20">
                  <c:v>676.46612304977782</c:v>
                </c:pt>
                <c:pt idx="21">
                  <c:v>703.80714688238777</c:v>
                </c:pt>
                <c:pt idx="22">
                  <c:v>711.32425958750696</c:v>
                </c:pt>
                <c:pt idx="23">
                  <c:v>686.31444551325978</c:v>
                </c:pt>
                <c:pt idx="24">
                  <c:v>739.27650191637611</c:v>
                </c:pt>
                <c:pt idx="25">
                  <c:v>743.60861253883991</c:v>
                </c:pt>
                <c:pt idx="26">
                  <c:v>773.5197312971859</c:v>
                </c:pt>
                <c:pt idx="27">
                  <c:v>827.89057594522899</c:v>
                </c:pt>
                <c:pt idx="28">
                  <c:v>849.44138394106608</c:v>
                </c:pt>
                <c:pt idx="29">
                  <c:v>862.62818624786109</c:v>
                </c:pt>
                <c:pt idx="30">
                  <c:v>905.63420263918738</c:v>
                </c:pt>
                <c:pt idx="31">
                  <c:v>975.70482376346149</c:v>
                </c:pt>
                <c:pt idx="32">
                  <c:v>1190.0752128712581</c:v>
                </c:pt>
                <c:pt idx="33">
                  <c:v>1382.790799831226</c:v>
                </c:pt>
                <c:pt idx="34">
                  <c:v>1443.0262901801273</c:v>
                </c:pt>
                <c:pt idx="35">
                  <c:v>1508.4442639136182</c:v>
                </c:pt>
                <c:pt idx="36">
                  <c:v>1708.2841717220597</c:v>
                </c:pt>
                <c:pt idx="37">
                  <c:v>1301.4814085829796</c:v>
                </c:pt>
                <c:pt idx="38">
                  <c:v>1877.646491605379</c:v>
                </c:pt>
                <c:pt idx="39">
                  <c:v>1792.4607817247793</c:v>
                </c:pt>
                <c:pt idx="40">
                  <c:v>1795.3263677524556</c:v>
                </c:pt>
                <c:pt idx="41">
                  <c:v>2316.1028339178893</c:v>
                </c:pt>
                <c:pt idx="42">
                  <c:v>2507.1881408404747</c:v>
                </c:pt>
                <c:pt idx="43">
                  <c:v>2651.5226844529093</c:v>
                </c:pt>
                <c:pt idx="44">
                  <c:v>3126.3839169505536</c:v>
                </c:pt>
                <c:pt idx="45">
                  <c:v>3043.0645968753734</c:v>
                </c:pt>
                <c:pt idx="46">
                  <c:v>2954.7506229543164</c:v>
                </c:pt>
                <c:pt idx="47">
                  <c:v>2841.7499934424391</c:v>
                </c:pt>
                <c:pt idx="48">
                  <c:v>2748.7347202783908</c:v>
                </c:pt>
                <c:pt idx="49">
                  <c:v>2777.797252008233</c:v>
                </c:pt>
                <c:pt idx="50">
                  <c:v>2854.3626115105594</c:v>
                </c:pt>
                <c:pt idx="51">
                  <c:v>3044.5269787141629</c:v>
                </c:pt>
                <c:pt idx="52">
                  <c:v>3027.4472645004212</c:v>
                </c:pt>
                <c:pt idx="53">
                  <c:v>2882.4578640651553</c:v>
                </c:pt>
                <c:pt idx="54">
                  <c:v>3154.7226803946328</c:v>
                </c:pt>
                <c:pt idx="55">
                  <c:v>3053.4452946358178</c:v>
                </c:pt>
                <c:pt idx="56">
                  <c:v>3153.8306960750069</c:v>
                </c:pt>
                <c:pt idx="57">
                  <c:v>3278.7379198126982</c:v>
                </c:pt>
                <c:pt idx="58">
                  <c:v>3408.1394048841689</c:v>
                </c:pt>
                <c:pt idx="59">
                  <c:v>3463.0933454960759</c:v>
                </c:pt>
                <c:pt idx="60">
                  <c:v>3438.2619475880542</c:v>
                </c:pt>
                <c:pt idx="61">
                  <c:v>4543.380799734301</c:v>
                </c:pt>
                <c:pt idx="62">
                  <c:v>3943.7518452243216</c:v>
                </c:pt>
                <c:pt idx="63">
                  <c:v>4157.883647923044</c:v>
                </c:pt>
                <c:pt idx="64">
                  <c:v>3944.4797948935611</c:v>
                </c:pt>
                <c:pt idx="65">
                  <c:v>4669.0162289735372</c:v>
                </c:pt>
                <c:pt idx="66">
                  <c:v>3705.04455433474</c:v>
                </c:pt>
                <c:pt idx="67">
                  <c:v>3087.9180125277139</c:v>
                </c:pt>
                <c:pt idx="68">
                  <c:v>3146.5676330831884</c:v>
                </c:pt>
                <c:pt idx="69">
                  <c:v>3178.6942785031401</c:v>
                </c:pt>
                <c:pt idx="70">
                  <c:v>3174.6158834254998</c:v>
                </c:pt>
                <c:pt idx="71">
                  <c:v>3493.1360345164039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EC-4356-8B5F-47006AE40529}"/>
            </c:ext>
          </c:extLst>
        </c:ser>
        <c:ser>
          <c:idx val="2"/>
          <c:order val="2"/>
          <c:tx>
            <c:strRef>
              <c:f>'Gasto estructural'!$AQ$3</c:f>
              <c:strCache>
                <c:ptCount val="1"/>
                <c:pt idx="0">
                  <c:v>hp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'Gasto estructural'!$AQ$4:$AQ$80</c:f>
              <c:numCache>
                <c:formatCode>0</c:formatCode>
                <c:ptCount val="72"/>
                <c:pt idx="0">
                  <c:v>329.84755046994599</c:v>
                </c:pt>
                <c:pt idx="1">
                  <c:v>348.70494051231702</c:v>
                </c:pt>
                <c:pt idx="2">
                  <c:v>376.107296399799</c:v>
                </c:pt>
                <c:pt idx="3">
                  <c:v>411.35013775654602</c:v>
                </c:pt>
                <c:pt idx="4">
                  <c:v>452.147911242715</c:v>
                </c:pt>
                <c:pt idx="5">
                  <c:v>494.441562140896</c:v>
                </c:pt>
                <c:pt idx="6">
                  <c:v>534.22055662125194</c:v>
                </c:pt>
                <c:pt idx="7">
                  <c:v>568.54994523253902</c:v>
                </c:pt>
                <c:pt idx="8">
                  <c:v>596.12257295729796</c:v>
                </c:pt>
                <c:pt idx="9">
                  <c:v>617.88578532574797</c:v>
                </c:pt>
                <c:pt idx="10">
                  <c:v>634.62570213853201</c:v>
                </c:pt>
                <c:pt idx="11">
                  <c:v>646.99958534303596</c:v>
                </c:pt>
                <c:pt idx="12">
                  <c:v>655.448439865262</c:v>
                </c:pt>
                <c:pt idx="13">
                  <c:v>660.10327477777798</c:v>
                </c:pt>
                <c:pt idx="14">
                  <c:v>661.81061475450304</c:v>
                </c:pt>
                <c:pt idx="15">
                  <c:v>661.73595172157502</c:v>
                </c:pt>
                <c:pt idx="16">
                  <c:v>661.21667145759</c:v>
                </c:pt>
                <c:pt idx="17">
                  <c:v>661.43280022392605</c:v>
                </c:pt>
                <c:pt idx="18">
                  <c:v>663.13219756738704</c:v>
                </c:pt>
                <c:pt idx="19">
                  <c:v>666.66839503253595</c:v>
                </c:pt>
                <c:pt idx="20">
                  <c:v>672.32360218826102</c:v>
                </c:pt>
                <c:pt idx="21">
                  <c:v>680.56334465312705</c:v>
                </c:pt>
                <c:pt idx="22">
                  <c:v>691.86991202381398</c:v>
                </c:pt>
                <c:pt idx="23">
                  <c:v>707.04996045047096</c:v>
                </c:pt>
                <c:pt idx="24">
                  <c:v>727.10144696301199</c:v>
                </c:pt>
                <c:pt idx="25">
                  <c:v>752.78182898684304</c:v>
                </c:pt>
                <c:pt idx="26">
                  <c:v>785.02754947774099</c:v>
                </c:pt>
                <c:pt idx="27">
                  <c:v>824.68723310161295</c:v>
                </c:pt>
                <c:pt idx="28">
                  <c:v>872.55922902959196</c:v>
                </c:pt>
                <c:pt idx="29">
                  <c:v>929.595014101792</c:v>
                </c:pt>
                <c:pt idx="30">
                  <c:v>996.52047286803395</c:v>
                </c:pt>
                <c:pt idx="31">
                  <c:v>1073.3655397371199</c:v>
                </c:pt>
                <c:pt idx="32">
                  <c:v>1159.10494438917</c:v>
                </c:pt>
                <c:pt idx="33">
                  <c:v>1251.53976110693</c:v>
                </c:pt>
                <c:pt idx="34">
                  <c:v>1348.4500147292799</c:v>
                </c:pt>
                <c:pt idx="35">
                  <c:v>1448.92033248399</c:v>
                </c:pt>
                <c:pt idx="36">
                  <c:v>1553.08084145156</c:v>
                </c:pt>
                <c:pt idx="37">
                  <c:v>1662.7824653876501</c:v>
                </c:pt>
                <c:pt idx="38">
                  <c:v>1779.8453196334001</c:v>
                </c:pt>
                <c:pt idx="39">
                  <c:v>1904.5016948760699</c:v>
                </c:pt>
                <c:pt idx="40">
                  <c:v>2036.0254286065899</c:v>
                </c:pt>
                <c:pt idx="41">
                  <c:v>2172.1953413671199</c:v>
                </c:pt>
                <c:pt idx="42">
                  <c:v>2308.23999941377</c:v>
                </c:pt>
                <c:pt idx="43">
                  <c:v>2438.1160155889702</c:v>
                </c:pt>
                <c:pt idx="44">
                  <c:v>2555.567602741</c:v>
                </c:pt>
                <c:pt idx="45">
                  <c:v>2655.3178135622802</c:v>
                </c:pt>
                <c:pt idx="46">
                  <c:v>2736.3840247178</c:v>
                </c:pt>
                <c:pt idx="47">
                  <c:v>2801.6404347369198</c:v>
                </c:pt>
                <c:pt idx="48">
                  <c:v>2856.0274019018598</c:v>
                </c:pt>
                <c:pt idx="49">
                  <c:v>2904.7388801474299</c:v>
                </c:pt>
                <c:pt idx="50">
                  <c:v>2951.7585493894398</c:v>
                </c:pt>
                <c:pt idx="51">
                  <c:v>2999.8927007422299</c:v>
                </c:pt>
                <c:pt idx="52">
                  <c:v>3051.06003982624</c:v>
                </c:pt>
                <c:pt idx="53">
                  <c:v>3107.6903452544898</c:v>
                </c:pt>
                <c:pt idx="54">
                  <c:v>3172.0027952417199</c:v>
                </c:pt>
                <c:pt idx="55">
                  <c:v>3244.2096645501701</c:v>
                </c:pt>
                <c:pt idx="56">
                  <c:v>3324.2431999896098</c:v>
                </c:pt>
                <c:pt idx="57">
                  <c:v>3410.0735517243602</c:v>
                </c:pt>
                <c:pt idx="58">
                  <c:v>3498.0484379187901</c:v>
                </c:pt>
                <c:pt idx="59">
                  <c:v>3583.4148412200798</c:v>
                </c:pt>
                <c:pt idx="60">
                  <c:v>3661.0092598961801</c:v>
                </c:pt>
                <c:pt idx="61">
                  <c:v>3725.0640438028599</c:v>
                </c:pt>
                <c:pt idx="62">
                  <c:v>3769.92145019693</c:v>
                </c:pt>
                <c:pt idx="63">
                  <c:v>3791.39309589715</c:v>
                </c:pt>
                <c:pt idx="64">
                  <c:v>3786.7213832203402</c:v>
                </c:pt>
                <c:pt idx="65">
                  <c:v>3756.4747835243202</c:v>
                </c:pt>
                <c:pt idx="66">
                  <c:v>3705.04455433474</c:v>
                </c:pt>
                <c:pt idx="67">
                  <c:v>3640.0372053419701</c:v>
                </c:pt>
                <c:pt idx="68">
                  <c:v>3568.6788006930801</c:v>
                </c:pt>
                <c:pt idx="69">
                  <c:v>3496.6450324816701</c:v>
                </c:pt>
                <c:pt idx="70">
                  <c:v>3426.8448047944598</c:v>
                </c:pt>
                <c:pt idx="71">
                  <c:v>3359.4005713933202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EC-4356-8B5F-47006AE40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863872"/>
        <c:axId val="196865408"/>
      </c:lineChart>
      <c:catAx>
        <c:axId val="19686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6865408"/>
        <c:crosses val="autoZero"/>
        <c:auto val="1"/>
        <c:lblAlgn val="ctr"/>
        <c:lblOffset val="100"/>
        <c:noMultiLvlLbl val="0"/>
      </c:catAx>
      <c:valAx>
        <c:axId val="19686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686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69558798499942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'Balance Estructural'!$G$36:$G$78</c:f>
              <c:numCache>
                <c:formatCode>#,##0.0</c:formatCode>
                <c:ptCount val="43"/>
                <c:pt idx="0">
                  <c:v>-2159.3531577905205</c:v>
                </c:pt>
                <c:pt idx="1">
                  <c:v>-2285.273948872652</c:v>
                </c:pt>
                <c:pt idx="2">
                  <c:v>-2114.3720232079031</c:v>
                </c:pt>
                <c:pt idx="3">
                  <c:v>-2461.0734036843569</c:v>
                </c:pt>
                <c:pt idx="4">
                  <c:v>-2938.2315834818064</c:v>
                </c:pt>
                <c:pt idx="5">
                  <c:v>-3903.6876006120883</c:v>
                </c:pt>
                <c:pt idx="6">
                  <c:v>-4454.5684224344132</c:v>
                </c:pt>
                <c:pt idx="7">
                  <c:v>-5845.1999618436948</c:v>
                </c:pt>
                <c:pt idx="8">
                  <c:v>-5008.7662834262483</c:v>
                </c:pt>
                <c:pt idx="9">
                  <c:v>-4031.2798316896296</c:v>
                </c:pt>
                <c:pt idx="10">
                  <c:v>-4184.1069579538198</c:v>
                </c:pt>
                <c:pt idx="11">
                  <c:v>-3530.0517478112433</c:v>
                </c:pt>
                <c:pt idx="12">
                  <c:v>-4632.1441749587375</c:v>
                </c:pt>
                <c:pt idx="13">
                  <c:v>-4702.7844800144485</c:v>
                </c:pt>
                <c:pt idx="14">
                  <c:v>-5634.9108708092572</c:v>
                </c:pt>
                <c:pt idx="15">
                  <c:v>-7143.968426925765</c:v>
                </c:pt>
                <c:pt idx="16">
                  <c:v>-6835.9079469091048</c:v>
                </c:pt>
                <c:pt idx="17">
                  <c:v>-7044.6709953175578</c:v>
                </c:pt>
                <c:pt idx="18">
                  <c:v>-7083.0100240009906</c:v>
                </c:pt>
                <c:pt idx="19">
                  <c:v>-7221.4510348716831</c:v>
                </c:pt>
                <c:pt idx="20">
                  <c:v>-7156.1479436506488</c:v>
                </c:pt>
                <c:pt idx="21">
                  <c:v>-7172.5070537396659</c:v>
                </c:pt>
                <c:pt idx="22">
                  <c:v>-7653.5929538426099</c:v>
                </c:pt>
                <c:pt idx="23">
                  <c:v>-8104.2919092546981</c:v>
                </c:pt>
                <c:pt idx="24">
                  <c:v>-8310.9686533971999</c:v>
                </c:pt>
                <c:pt idx="25">
                  <c:v>-9116.4011478721714</c:v>
                </c:pt>
                <c:pt idx="26">
                  <c:v>-10224.353467007195</c:v>
                </c:pt>
                <c:pt idx="27">
                  <c:v>-10237.774226800782</c:v>
                </c:pt>
                <c:pt idx="28">
                  <c:v>-10166.581214769045</c:v>
                </c:pt>
                <c:pt idx="29">
                  <c:v>-10280.865221976021</c:v>
                </c:pt>
                <c:pt idx="30">
                  <c:v>-10312.728857431212</c:v>
                </c:pt>
                <c:pt idx="31">
                  <c:v>-10673.817555428148</c:v>
                </c:pt>
                <c:pt idx="32">
                  <c:v>-10331.814476027321</c:v>
                </c:pt>
                <c:pt idx="33">
                  <c:v>-8234.109128743301</c:v>
                </c:pt>
                <c:pt idx="34">
                  <c:v>-7883.5239280617971</c:v>
                </c:pt>
                <c:pt idx="35">
                  <c:v>-7599.4470479763004</c:v>
                </c:pt>
                <c:pt idx="36">
                  <c:v>-7287.506325794373</c:v>
                </c:pt>
                <c:pt idx="37">
                  <c:v>-7031.8978164206092</c:v>
                </c:pt>
                <c:pt idx="38">
                  <c:v>-6601.4726007982499</c:v>
                </c:pt>
                <c:pt idx="39">
                  <c:v>-7030.8923414320525</c:v>
                </c:pt>
                <c:pt idx="40">
                  <c:v>-7328.5696129500138</c:v>
                </c:pt>
                <c:pt idx="41">
                  <c:v>-7313.3516128554111</c:v>
                </c:pt>
                <c:pt idx="42">
                  <c:v>-7974.9286032825585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88-4EDE-8E62-7394411737B3}"/>
            </c:ext>
          </c:extLst>
        </c:ser>
        <c:ser>
          <c:idx val="2"/>
          <c:order val="1"/>
          <c:marker>
            <c:symbol val="none"/>
          </c:marker>
          <c:val>
            <c:numRef>
              <c:f>'Balance Estructural'!$I$36:$I$78</c:f>
              <c:numCache>
                <c:formatCode>General</c:formatCode>
                <c:ptCount val="43"/>
                <c:pt idx="0">
                  <c:v>-1716.6324480398398</c:v>
                </c:pt>
                <c:pt idx="1">
                  <c:v>-1770.8855218375168</c:v>
                </c:pt>
                <c:pt idx="2">
                  <c:v>-1652.5875475457321</c:v>
                </c:pt>
                <c:pt idx="3">
                  <c:v>-1834.6379069217173</c:v>
                </c:pt>
                <c:pt idx="4">
                  <c:v>-1880.1058967641318</c:v>
                </c:pt>
                <c:pt idx="5">
                  <c:v>-1705.2695785039161</c:v>
                </c:pt>
                <c:pt idx="6">
                  <c:v>-1917.891035944612</c:v>
                </c:pt>
                <c:pt idx="7">
                  <c:v>-1901.4427316968784</c:v>
                </c:pt>
                <c:pt idx="8">
                  <c:v>-2125.9306007724281</c:v>
                </c:pt>
                <c:pt idx="9">
                  <c:v>-3246.9806526007228</c:v>
                </c:pt>
                <c:pt idx="10">
                  <c:v>-3803.871409820365</c:v>
                </c:pt>
                <c:pt idx="11">
                  <c:v>-5256.6184197032635</c:v>
                </c:pt>
                <c:pt idx="12">
                  <c:v>-5389.7852573528335</c:v>
                </c:pt>
                <c:pt idx="13">
                  <c:v>-5165.357592175802</c:v>
                </c:pt>
                <c:pt idx="14">
                  <c:v>-5273.1551594544235</c:v>
                </c:pt>
                <c:pt idx="15">
                  <c:v>-4933.1746596276262</c:v>
                </c:pt>
                <c:pt idx="16">
                  <c:v>-4354.2120575004319</c:v>
                </c:pt>
                <c:pt idx="17">
                  <c:v>-4672.5823918460028</c:v>
                </c:pt>
                <c:pt idx="18">
                  <c:v>-4789.5554199547014</c:v>
                </c:pt>
                <c:pt idx="19">
                  <c:v>-5542.3771555295752</c:v>
                </c:pt>
                <c:pt idx="20">
                  <c:v>-6769.4654731375413</c:v>
                </c:pt>
                <c:pt idx="21">
                  <c:v>-6832.0795357647385</c:v>
                </c:pt>
                <c:pt idx="22">
                  <c:v>-7128.6988560011741</c:v>
                </c:pt>
                <c:pt idx="23">
                  <c:v>-7207.7099553605667</c:v>
                </c:pt>
                <c:pt idx="24">
                  <c:v>-7286.2116458244145</c:v>
                </c:pt>
                <c:pt idx="25">
                  <c:v>-7272.0580209496175</c:v>
                </c:pt>
                <c:pt idx="26">
                  <c:v>-7214.6808258942237</c:v>
                </c:pt>
                <c:pt idx="27">
                  <c:v>-7802.4489680505758</c:v>
                </c:pt>
                <c:pt idx="28">
                  <c:v>-7787.2988791241005</c:v>
                </c:pt>
                <c:pt idx="29">
                  <c:v>-8006.4635493240748</c:v>
                </c:pt>
                <c:pt idx="30">
                  <c:v>-8841.4585189469435</c:v>
                </c:pt>
                <c:pt idx="31">
                  <c:v>-10138.095834868771</c:v>
                </c:pt>
                <c:pt idx="32">
                  <c:v>-10237.616522846205</c:v>
                </c:pt>
                <c:pt idx="33">
                  <c:v>-10083.642142346014</c:v>
                </c:pt>
                <c:pt idx="34">
                  <c:v>-10322.191564626279</c:v>
                </c:pt>
                <c:pt idx="35">
                  <c:v>-10178.120102949913</c:v>
                </c:pt>
                <c:pt idx="36">
                  <c:v>-9298.6193622791252</c:v>
                </c:pt>
                <c:pt idx="37">
                  <c:v>-9050.4621870309966</c:v>
                </c:pt>
                <c:pt idx="38">
                  <c:v>-7025.1620344865323</c:v>
                </c:pt>
                <c:pt idx="39">
                  <c:v>-6068.5469444114051</c:v>
                </c:pt>
                <c:pt idx="40">
                  <c:v>-6234.3487254817892</c:v>
                </c:pt>
                <c:pt idx="41">
                  <c:v>-6101.0512720707275</c:v>
                </c:pt>
                <c:pt idx="42">
                  <c:v>-7118.3454411298198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84-4C9F-B504-BFE4F191E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954752"/>
        <c:axId val="197566848"/>
      </c:lineChart>
      <c:catAx>
        <c:axId val="19695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7566848"/>
        <c:crosses val="autoZero"/>
        <c:auto val="1"/>
        <c:lblAlgn val="ctr"/>
        <c:lblOffset val="100"/>
        <c:noMultiLvlLbl val="0"/>
      </c:catAx>
      <c:valAx>
        <c:axId val="19756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695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'Balance Estructural'!$R$36:$R$78</c:f>
              <c:numCache>
                <c:formatCode>0.00%</c:formatCode>
                <c:ptCount val="43"/>
                <c:pt idx="0">
                  <c:v>-2.5999391351251008E-2</c:v>
                </c:pt>
                <c:pt idx="1">
                  <c:v>-2.8800846398894225E-2</c:v>
                </c:pt>
                <c:pt idx="2">
                  <c:v>-2.3341062982374605E-2</c:v>
                </c:pt>
                <c:pt idx="3">
                  <c:v>-2.9668387312989278E-2</c:v>
                </c:pt>
                <c:pt idx="4">
                  <c:v>-3.5903761126824862E-2</c:v>
                </c:pt>
                <c:pt idx="5">
                  <c:v>-5.0567187865144247E-2</c:v>
                </c:pt>
                <c:pt idx="6">
                  <c:v>-5.8640788164496749E-2</c:v>
                </c:pt>
                <c:pt idx="7">
                  <c:v>-8.2984943517646959E-2</c:v>
                </c:pt>
                <c:pt idx="8">
                  <c:v>-7.3270085282917452E-2</c:v>
                </c:pt>
                <c:pt idx="9">
                  <c:v>-5.8792045996634457E-2</c:v>
                </c:pt>
                <c:pt idx="10">
                  <c:v>-5.9442947854724829E-2</c:v>
                </c:pt>
                <c:pt idx="11">
                  <c:v>-4.7192548073341389E-2</c:v>
                </c:pt>
                <c:pt idx="12">
                  <c:v>-6.3474089204749465E-2</c:v>
                </c:pt>
                <c:pt idx="13">
                  <c:v>-6.2398420059763135E-2</c:v>
                </c:pt>
                <c:pt idx="14">
                  <c:v>-7.3111919773216349E-2</c:v>
                </c:pt>
                <c:pt idx="15">
                  <c:v>-9.1890506008705491E-2</c:v>
                </c:pt>
                <c:pt idx="16">
                  <c:v>-8.3571698174454645E-2</c:v>
                </c:pt>
                <c:pt idx="17">
                  <c:v>-8.3433458562688231E-2</c:v>
                </c:pt>
                <c:pt idx="18">
                  <c:v>-8.0935576091467426E-2</c:v>
                </c:pt>
                <c:pt idx="19">
                  <c:v>-7.9398505164674948E-2</c:v>
                </c:pt>
                <c:pt idx="20">
                  <c:v>-7.6236611621340392E-2</c:v>
                </c:pt>
                <c:pt idx="21">
                  <c:v>-7.4092724543996208E-2</c:v>
                </c:pt>
                <c:pt idx="22">
                  <c:v>-7.7648268292430253E-2</c:v>
                </c:pt>
                <c:pt idx="23">
                  <c:v>-8.0895232631406258E-2</c:v>
                </c:pt>
                <c:pt idx="24">
                  <c:v>-8.0025156007758974E-2</c:v>
                </c:pt>
                <c:pt idx="25">
                  <c:v>-8.6455352125517637E-2</c:v>
                </c:pt>
                <c:pt idx="26">
                  <c:v>-9.5255038070302514E-2</c:v>
                </c:pt>
                <c:pt idx="27">
                  <c:v>-9.2788883851704002E-2</c:v>
                </c:pt>
                <c:pt idx="28">
                  <c:v>-9.0091058184507494E-2</c:v>
                </c:pt>
                <c:pt idx="29">
                  <c:v>-8.9308352583702663E-2</c:v>
                </c:pt>
                <c:pt idx="30">
                  <c:v>-8.8523050977178705E-2</c:v>
                </c:pt>
                <c:pt idx="31">
                  <c:v>-9.0064106823883022E-2</c:v>
                </c:pt>
                <c:pt idx="32">
                  <c:v>-8.6341234700942085E-2</c:v>
                </c:pt>
                <c:pt idx="33">
                  <c:v>-6.3538348701224739E-2</c:v>
                </c:pt>
                <c:pt idx="34">
                  <c:v>-6.1657261415656757E-2</c:v>
                </c:pt>
                <c:pt idx="35">
                  <c:v>-6.1230198110694134E-2</c:v>
                </c:pt>
                <c:pt idx="36">
                  <c:v>-5.5786285405108792E-2</c:v>
                </c:pt>
                <c:pt idx="37">
                  <c:v>-5.1168127381227037E-2</c:v>
                </c:pt>
                <c:pt idx="38">
                  <c:v>-4.5583126118879609E-2</c:v>
                </c:pt>
                <c:pt idx="39">
                  <c:v>-4.680439424072879E-2</c:v>
                </c:pt>
                <c:pt idx="40">
                  <c:v>-4.9549122555364103E-2</c:v>
                </c:pt>
                <c:pt idx="41">
                  <c:v>-4.7480461657098738E-2</c:v>
                </c:pt>
                <c:pt idx="42">
                  <c:v>-5.2869163620336668E-2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26-4AB6-B5EA-F684766BF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03712"/>
        <c:axId val="197606016"/>
      </c:scatterChart>
      <c:valAx>
        <c:axId val="197603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7606016"/>
        <c:crosses val="autoZero"/>
        <c:crossBetween val="midCat"/>
      </c:valAx>
      <c:valAx>
        <c:axId val="19760601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760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Resultado tributario primario estructural (% del PIB)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5489647426056E-2"/>
          <c:y val="0.15782407407407409"/>
          <c:w val="0.90057962217483822"/>
          <c:h val="0.59169765237678629"/>
        </c:manualLayout>
      </c:layout>
      <c:lineChart>
        <c:grouping val="standard"/>
        <c:varyColors val="0"/>
        <c:ser>
          <c:idx val="0"/>
          <c:order val="0"/>
          <c:tx>
            <c:strRef>
              <c:f>'Balance Estructural'!$S$2</c:f>
              <c:strCache>
                <c:ptCount val="1"/>
                <c:pt idx="0">
                  <c:v>RP Estructural (% del PIB)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'Balance Estructural'!$B$10:$B$78</c:f>
              <c:strCache>
                <c:ptCount val="69"/>
                <c:pt idx="0">
                  <c:v>2000Q4</c:v>
                </c:pt>
                <c:pt idx="1">
                  <c:v>2001Q1</c:v>
                </c:pt>
                <c:pt idx="2">
                  <c:v>2001Q2</c:v>
                </c:pt>
                <c:pt idx="3">
                  <c:v>2001Q3</c:v>
                </c:pt>
                <c:pt idx="4">
                  <c:v>2001Q4</c:v>
                </c:pt>
                <c:pt idx="5">
                  <c:v>2002Q1</c:v>
                </c:pt>
                <c:pt idx="6">
                  <c:v>2002Q2</c:v>
                </c:pt>
                <c:pt idx="7">
                  <c:v>2002Q3</c:v>
                </c:pt>
                <c:pt idx="8">
                  <c:v>2002Q4</c:v>
                </c:pt>
                <c:pt idx="9">
                  <c:v>2003Q1</c:v>
                </c:pt>
                <c:pt idx="10">
                  <c:v>2003Q2</c:v>
                </c:pt>
                <c:pt idx="11">
                  <c:v>2003Q3</c:v>
                </c:pt>
                <c:pt idx="12">
                  <c:v>2003Q4</c:v>
                </c:pt>
                <c:pt idx="13">
                  <c:v>2004Q1</c:v>
                </c:pt>
                <c:pt idx="14">
                  <c:v>2004Q2</c:v>
                </c:pt>
                <c:pt idx="15">
                  <c:v>2004Q3</c:v>
                </c:pt>
                <c:pt idx="16">
                  <c:v>2004Q4</c:v>
                </c:pt>
                <c:pt idx="17">
                  <c:v>2005Q1</c:v>
                </c:pt>
                <c:pt idx="18">
                  <c:v>2005Q2</c:v>
                </c:pt>
                <c:pt idx="19">
                  <c:v>2005Q3</c:v>
                </c:pt>
                <c:pt idx="20">
                  <c:v>2005Q4</c:v>
                </c:pt>
                <c:pt idx="21">
                  <c:v>2006Q1</c:v>
                </c:pt>
                <c:pt idx="22">
                  <c:v>2006Q2</c:v>
                </c:pt>
                <c:pt idx="23">
                  <c:v>2006Q3</c:v>
                </c:pt>
                <c:pt idx="24">
                  <c:v>2006Q4</c:v>
                </c:pt>
                <c:pt idx="25">
                  <c:v>2007Q1</c:v>
                </c:pt>
                <c:pt idx="26">
                  <c:v>2007Q2</c:v>
                </c:pt>
                <c:pt idx="27">
                  <c:v>2007Q3</c:v>
                </c:pt>
                <c:pt idx="28">
                  <c:v>2007Q4</c:v>
                </c:pt>
                <c:pt idx="29">
                  <c:v>2008Q1</c:v>
                </c:pt>
                <c:pt idx="30">
                  <c:v>2008Q2</c:v>
                </c:pt>
                <c:pt idx="31">
                  <c:v>2008Q3</c:v>
                </c:pt>
                <c:pt idx="32">
                  <c:v>2008Q4</c:v>
                </c:pt>
                <c:pt idx="33">
                  <c:v>2009Q1</c:v>
                </c:pt>
                <c:pt idx="34">
                  <c:v>2009Q2</c:v>
                </c:pt>
                <c:pt idx="35">
                  <c:v>2009Q3</c:v>
                </c:pt>
                <c:pt idx="36">
                  <c:v>2009Q4</c:v>
                </c:pt>
                <c:pt idx="37">
                  <c:v>2010Q1</c:v>
                </c:pt>
                <c:pt idx="38">
                  <c:v>2010Q2</c:v>
                </c:pt>
                <c:pt idx="39">
                  <c:v>2010Q3</c:v>
                </c:pt>
                <c:pt idx="40">
                  <c:v>2010Q4</c:v>
                </c:pt>
                <c:pt idx="41">
                  <c:v>2011Q1</c:v>
                </c:pt>
                <c:pt idx="42">
                  <c:v>2011Q2</c:v>
                </c:pt>
                <c:pt idx="43">
                  <c:v>2011Q3</c:v>
                </c:pt>
                <c:pt idx="44">
                  <c:v>2011Q4</c:v>
                </c:pt>
                <c:pt idx="45">
                  <c:v>2012Q1</c:v>
                </c:pt>
                <c:pt idx="46">
                  <c:v>2012Q2</c:v>
                </c:pt>
                <c:pt idx="47">
                  <c:v>2012Q3</c:v>
                </c:pt>
                <c:pt idx="48">
                  <c:v>2012Q4</c:v>
                </c:pt>
                <c:pt idx="49">
                  <c:v>2013Q1</c:v>
                </c:pt>
                <c:pt idx="50">
                  <c:v>2013Q2</c:v>
                </c:pt>
                <c:pt idx="51">
                  <c:v>2013Q3</c:v>
                </c:pt>
                <c:pt idx="52">
                  <c:v>2013Q4</c:v>
                </c:pt>
                <c:pt idx="53">
                  <c:v>2014Q1</c:v>
                </c:pt>
                <c:pt idx="54">
                  <c:v>2014Q2</c:v>
                </c:pt>
                <c:pt idx="55">
                  <c:v>2014Q3</c:v>
                </c:pt>
                <c:pt idx="56">
                  <c:v>2014Q4</c:v>
                </c:pt>
                <c:pt idx="57">
                  <c:v>2015Q1</c:v>
                </c:pt>
                <c:pt idx="58">
                  <c:v>2015Q2</c:v>
                </c:pt>
                <c:pt idx="59">
                  <c:v>2015Q3</c:v>
                </c:pt>
                <c:pt idx="60">
                  <c:v>2015Q4</c:v>
                </c:pt>
                <c:pt idx="61">
                  <c:v>2016Q1</c:v>
                </c:pt>
                <c:pt idx="62">
                  <c:v>2016Q2</c:v>
                </c:pt>
                <c:pt idx="63">
                  <c:v>2016Q3</c:v>
                </c:pt>
                <c:pt idx="64">
                  <c:v>2016Q4</c:v>
                </c:pt>
                <c:pt idx="65">
                  <c:v>2017Q1</c:v>
                </c:pt>
                <c:pt idx="66">
                  <c:v>2017Q2</c:v>
                </c:pt>
                <c:pt idx="67">
                  <c:v>2017Q3</c:v>
                </c:pt>
                <c:pt idx="68">
                  <c:v>2017Q4</c:v>
                </c:pt>
              </c:strCache>
            </c:strRef>
          </c:cat>
          <c:val>
            <c:numRef>
              <c:f>'Balance Estructural'!$S$10:$S$78</c:f>
              <c:numCache>
                <c:formatCode>0.00%</c:formatCode>
                <c:ptCount val="69"/>
                <c:pt idx="0">
                  <c:v>3.6906776949868346E-2</c:v>
                </c:pt>
                <c:pt idx="1">
                  <c:v>4.1309935532105622E-2</c:v>
                </c:pt>
                <c:pt idx="2">
                  <c:v>3.509155934200945E-2</c:v>
                </c:pt>
                <c:pt idx="3">
                  <c:v>3.4771734279462403E-2</c:v>
                </c:pt>
                <c:pt idx="4">
                  <c:v>3.5413455488881612E-2</c:v>
                </c:pt>
                <c:pt idx="5">
                  <c:v>4.0358234598155289E-2</c:v>
                </c:pt>
                <c:pt idx="6">
                  <c:v>3.4182937820360776E-2</c:v>
                </c:pt>
                <c:pt idx="7">
                  <c:v>2.7117268223494379E-2</c:v>
                </c:pt>
                <c:pt idx="8">
                  <c:v>2.2123580831403405E-2</c:v>
                </c:pt>
                <c:pt idx="9">
                  <c:v>1.8551593447804837E-2</c:v>
                </c:pt>
                <c:pt idx="10">
                  <c:v>1.8216388433840092E-2</c:v>
                </c:pt>
                <c:pt idx="11">
                  <c:v>1.1440583097573205E-2</c:v>
                </c:pt>
                <c:pt idx="12">
                  <c:v>1.6719008618035033E-2</c:v>
                </c:pt>
                <c:pt idx="13">
                  <c:v>1.3368585381631605E-2</c:v>
                </c:pt>
                <c:pt idx="14">
                  <c:v>1.2340294274171841E-2</c:v>
                </c:pt>
                <c:pt idx="15">
                  <c:v>1.3624001543995399E-2</c:v>
                </c:pt>
                <c:pt idx="16">
                  <c:v>1.3449957036151471E-2</c:v>
                </c:pt>
                <c:pt idx="17">
                  <c:v>1.2040027502378415E-2</c:v>
                </c:pt>
                <c:pt idx="18">
                  <c:v>1.5160200906730547E-2</c:v>
                </c:pt>
                <c:pt idx="19">
                  <c:v>1.6827541348400189E-2</c:v>
                </c:pt>
                <c:pt idx="20">
                  <c:v>1.2517649752701971E-2</c:v>
                </c:pt>
                <c:pt idx="21">
                  <c:v>1.7409702590357009E-2</c:v>
                </c:pt>
                <c:pt idx="22">
                  <c:v>1.7993022734179295E-2</c:v>
                </c:pt>
                <c:pt idx="23">
                  <c:v>1.9761184747440163E-2</c:v>
                </c:pt>
                <c:pt idx="24">
                  <c:v>1.8551755005191177E-2</c:v>
                </c:pt>
                <c:pt idx="25">
                  <c:v>1.7866563555393265E-2</c:v>
                </c:pt>
                <c:pt idx="26">
                  <c:v>1.3947923548856043E-2</c:v>
                </c:pt>
                <c:pt idx="27">
                  <c:v>1.3002771788822493E-2</c:v>
                </c:pt>
                <c:pt idx="28">
                  <c:v>2.0088484814499284E-2</c:v>
                </c:pt>
                <c:pt idx="29">
                  <c:v>1.5060778406852899E-2</c:v>
                </c:pt>
                <c:pt idx="30">
                  <c:v>9.5950778844688285E-3</c:v>
                </c:pt>
                <c:pt idx="31">
                  <c:v>-4.4873178836961763E-3</c:v>
                </c:pt>
                <c:pt idx="32">
                  <c:v>-1.1252543053103954E-2</c:v>
                </c:pt>
                <c:pt idx="33">
                  <c:v>-3.3734038503213257E-2</c:v>
                </c:pt>
                <c:pt idx="34">
                  <c:v>-2.2443486672383679E-2</c:v>
                </c:pt>
                <c:pt idx="35">
                  <c:v>-6.3067763015352595E-3</c:v>
                </c:pt>
                <c:pt idx="36">
                  <c:v>-5.8491983621078072E-3</c:v>
                </c:pt>
                <c:pt idx="37">
                  <c:v>7.1224830715896957E-3</c:v>
                </c:pt>
                <c:pt idx="38">
                  <c:v>-7.1222481255685489E-3</c:v>
                </c:pt>
                <c:pt idx="39">
                  <c:v>-3.8324779101703869E-3</c:v>
                </c:pt>
                <c:pt idx="40">
                  <c:v>-1.2233630209411176E-2</c:v>
                </c:pt>
                <c:pt idx="41">
                  <c:v>-2.8313754103995423E-2</c:v>
                </c:pt>
                <c:pt idx="42">
                  <c:v>-1.8476385853021068E-2</c:v>
                </c:pt>
                <c:pt idx="43">
                  <c:v>-1.6535898562134284E-2</c:v>
                </c:pt>
                <c:pt idx="44">
                  <c:v>-1.2703990410058248E-2</c:v>
                </c:pt>
                <c:pt idx="45">
                  <c:v>-1.0729065296168419E-2</c:v>
                </c:pt>
                <c:pt idx="46">
                  <c:v>-7.5837175356570502E-3</c:v>
                </c:pt>
                <c:pt idx="47">
                  <c:v>-6.1870560336428244E-3</c:v>
                </c:pt>
                <c:pt idx="48">
                  <c:v>-1.1914553407965054E-2</c:v>
                </c:pt>
                <c:pt idx="49">
                  <c:v>-1.6859065229128938E-2</c:v>
                </c:pt>
                <c:pt idx="50">
                  <c:v>-1.7968539604152026E-2</c:v>
                </c:pt>
                <c:pt idx="51">
                  <c:v>-2.7777433032449988E-2</c:v>
                </c:pt>
                <c:pt idx="52">
                  <c:v>-3.9418506745629939E-2</c:v>
                </c:pt>
                <c:pt idx="53">
                  <c:v>-4.1600618852331593E-2</c:v>
                </c:pt>
                <c:pt idx="54">
                  <c:v>-4.2819972701883778E-2</c:v>
                </c:pt>
                <c:pt idx="55">
                  <c:v>-4.5884468199549298E-2</c:v>
                </c:pt>
                <c:pt idx="56">
                  <c:v>-4.8923672132827355E-2</c:v>
                </c:pt>
                <c:pt idx="57">
                  <c:v>-5.3972430715933738E-2</c:v>
                </c:pt>
                <c:pt idx="58">
                  <c:v>-5.3348628785149191E-2</c:v>
                </c:pt>
                <c:pt idx="59">
                  <c:v>-3.3199099885964319E-2</c:v>
                </c:pt>
                <c:pt idx="60">
                  <c:v>-3.383745472316016E-2</c:v>
                </c:pt>
                <c:pt idx="61">
                  <c:v>-3.3722015050428829E-2</c:v>
                </c:pt>
                <c:pt idx="62">
                  <c:v>-3.1825600564110559E-2</c:v>
                </c:pt>
                <c:pt idx="63">
                  <c:v>-3.2956965943806926E-2</c:v>
                </c:pt>
                <c:pt idx="64">
                  <c:v>-2.5423486423815804E-2</c:v>
                </c:pt>
                <c:pt idx="65">
                  <c:v>-2.8034590932142722E-2</c:v>
                </c:pt>
                <c:pt idx="66">
                  <c:v>-3.1194127196116722E-2</c:v>
                </c:pt>
                <c:pt idx="67">
                  <c:v>-2.9262079021023901E-2</c:v>
                </c:pt>
                <c:pt idx="68">
                  <c:v>-2.7090826165980814E-2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EA-4199-888A-D1505E7B8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622016"/>
        <c:axId val="197632000"/>
      </c:lineChart>
      <c:catAx>
        <c:axId val="19762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C"/>
          </a:p>
        </c:txPr>
        <c:crossAx val="197632000"/>
        <c:crosses val="autoZero"/>
        <c:auto val="1"/>
        <c:lblAlgn val="ctr"/>
        <c:lblOffset val="100"/>
        <c:tickLblSkip val="4"/>
        <c:noMultiLvlLbl val="0"/>
      </c:catAx>
      <c:valAx>
        <c:axId val="19763200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C"/>
          </a:p>
        </c:txPr>
        <c:crossAx val="197622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279527559055118"/>
          <c:y val="5.6643265849497207E-2"/>
          <c:w val="0.88633515919205752"/>
          <c:h val="0.77427068265895216"/>
        </c:manualLayout>
      </c:layout>
      <c:lineChart>
        <c:grouping val="standard"/>
        <c:varyColors val="0"/>
        <c:ser>
          <c:idx val="0"/>
          <c:order val="0"/>
          <c:tx>
            <c:strRef>
              <c:f>'Indicador Blanchard'!$R$4</c:f>
              <c:strCache>
                <c:ptCount val="1"/>
                <c:pt idx="0">
                  <c:v>Indicador de Blanchard </c:v>
                </c:pt>
              </c:strCache>
            </c:strRef>
          </c:tx>
          <c:spPr>
            <a:ln w="28575" cap="rnd">
              <a:solidFill>
                <a:srgbClr val="00006B"/>
              </a:solidFill>
              <a:round/>
            </a:ln>
            <a:effectLst/>
          </c:spPr>
          <c:marker>
            <c:symbol val="none"/>
          </c:marker>
          <c:cat>
            <c:strRef>
              <c:f>GIB!$Q$2:$Q$76</c:f>
              <c:strCache>
                <c:ptCount val="75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  <c:pt idx="71">
                  <c:v>2018Q1</c:v>
                </c:pt>
                <c:pt idx="72">
                  <c:v>2018Q2</c:v>
                </c:pt>
                <c:pt idx="73">
                  <c:v>2018Q3</c:v>
                </c:pt>
                <c:pt idx="74">
                  <c:v>2018Q4</c:v>
                </c:pt>
              </c:strCache>
            </c:strRef>
          </c:cat>
          <c:val>
            <c:numRef>
              <c:f>GIB!$S$2:$S$76</c:f>
              <c:numCache>
                <c:formatCode>General</c:formatCode>
                <c:ptCount val="75"/>
                <c:pt idx="4" formatCode="0.0%">
                  <c:v>7.3985301574639485E-3</c:v>
                </c:pt>
                <c:pt idx="5" formatCode="0.0%">
                  <c:v>6.6191668439995188E-3</c:v>
                </c:pt>
                <c:pt idx="6" formatCode="0.0%">
                  <c:v>1.1989716024183687E-2</c:v>
                </c:pt>
                <c:pt idx="7" formatCode="0.0%">
                  <c:v>1.4445395599597627E-2</c:v>
                </c:pt>
                <c:pt idx="8" formatCode="0.0%">
                  <c:v>1.4742035688873821E-2</c:v>
                </c:pt>
                <c:pt idx="9" formatCode="0.0%">
                  <c:v>1.8236938507323164E-2</c:v>
                </c:pt>
                <c:pt idx="10" formatCode="0.0%">
                  <c:v>2.1057434110493406E-2</c:v>
                </c:pt>
                <c:pt idx="11" formatCode="0.0%">
                  <c:v>2.0524964026642636E-2</c:v>
                </c:pt>
                <c:pt idx="12" formatCode="0.0%">
                  <c:v>2.3679188982938436E-2</c:v>
                </c:pt>
                <c:pt idx="13" formatCode="0.0%">
                  <c:v>2.9916540790885196E-2</c:v>
                </c:pt>
                <c:pt idx="14" formatCode="0.0%">
                  <c:v>2.6233888244550474E-2</c:v>
                </c:pt>
                <c:pt idx="15" formatCode="0.0%">
                  <c:v>3.2247189475377337E-2</c:v>
                </c:pt>
                <c:pt idx="16" formatCode="0.0%">
                  <c:v>2.9486536638250103E-2</c:v>
                </c:pt>
                <c:pt idx="17" formatCode="0.0%">
                  <c:v>2.7119753263938291E-2</c:v>
                </c:pt>
                <c:pt idx="18" formatCode="0.0%">
                  <c:v>2.3036872266328522E-2</c:v>
                </c:pt>
                <c:pt idx="19" formatCode="0.0%">
                  <c:v>2.482152401027303E-2</c:v>
                </c:pt>
                <c:pt idx="20" formatCode="0.0%">
                  <c:v>2.0321635943855935E-2</c:v>
                </c:pt>
                <c:pt idx="21" formatCode="0.0%">
                  <c:v>1.5638680317275486E-2</c:v>
                </c:pt>
                <c:pt idx="22" formatCode="0.0%">
                  <c:v>1.8804226401438862E-2</c:v>
                </c:pt>
                <c:pt idx="23" formatCode="0.0%">
                  <c:v>1.1903163860566836E-2</c:v>
                </c:pt>
                <c:pt idx="24" formatCode="0.0%">
                  <c:v>1.4132949199647336E-2</c:v>
                </c:pt>
                <c:pt idx="25" formatCode="0.0%">
                  <c:v>1.5235780756669055E-2</c:v>
                </c:pt>
                <c:pt idx="26" formatCode="0.0%">
                  <c:v>1.9673458088665871E-2</c:v>
                </c:pt>
                <c:pt idx="27" formatCode="0.0%">
                  <c:v>2.1396706510745434E-2</c:v>
                </c:pt>
                <c:pt idx="28" formatCode="0.0%">
                  <c:v>2.6382378065100711E-2</c:v>
                </c:pt>
                <c:pt idx="29" formatCode="0.0%">
                  <c:v>2.8424318752502117E-2</c:v>
                </c:pt>
                <c:pt idx="30" formatCode="0.0%">
                  <c:v>2.0145285121027968E-2</c:v>
                </c:pt>
                <c:pt idx="31" formatCode="0.0%">
                  <c:v>2.5281264720833228E-2</c:v>
                </c:pt>
                <c:pt idx="32" formatCode="0.0%">
                  <c:v>3.0705203502424901E-2</c:v>
                </c:pt>
                <c:pt idx="33" formatCode="0.0%">
                  <c:v>4.4160959085776011E-2</c:v>
                </c:pt>
                <c:pt idx="34" formatCode="0.0%">
                  <c:v>5.6248629094517048E-2</c:v>
                </c:pt>
                <c:pt idx="35" formatCode="0.0%">
                  <c:v>8.1447751719205194E-2</c:v>
                </c:pt>
                <c:pt idx="36" formatCode="0.0%">
                  <c:v>7.733286388087425E-2</c:v>
                </c:pt>
                <c:pt idx="37" formatCode="0.0%">
                  <c:v>6.295627691015282E-2</c:v>
                </c:pt>
                <c:pt idx="38" formatCode="0.0%">
                  <c:v>6.0545274772526615E-2</c:v>
                </c:pt>
                <c:pt idx="39" formatCode="0.0%">
                  <c:v>4.7306429466783886E-2</c:v>
                </c:pt>
                <c:pt idx="40" formatCode="0.0%">
                  <c:v>6.3387006685685865E-2</c:v>
                </c:pt>
                <c:pt idx="41" formatCode="0.0%">
                  <c:v>6.0681952957032617E-2</c:v>
                </c:pt>
                <c:pt idx="42" formatCode="0.0%">
                  <c:v>7.1213268448525435E-2</c:v>
                </c:pt>
                <c:pt idx="43" formatCode="0.0%">
                  <c:v>8.8246641790472799E-2</c:v>
                </c:pt>
                <c:pt idx="44" formatCode="0.0%">
                  <c:v>7.8472073207967799E-2</c:v>
                </c:pt>
                <c:pt idx="45" formatCode="0.0%">
                  <c:v>7.7042465689400028E-2</c:v>
                </c:pt>
                <c:pt idx="46" formatCode="0.0%">
                  <c:v>7.3263756485222972E-2</c:v>
                </c:pt>
                <c:pt idx="47" formatCode="0.0%">
                  <c:v>7.1947883895836298E-2</c:v>
                </c:pt>
                <c:pt idx="48" formatCode="0.0%">
                  <c:v>6.8906197168627281E-2</c:v>
                </c:pt>
                <c:pt idx="49" formatCode="0.0%">
                  <c:v>6.654641317833497E-2</c:v>
                </c:pt>
                <c:pt idx="50" formatCode="0.0%">
                  <c:v>6.9479145741849074E-2</c:v>
                </c:pt>
                <c:pt idx="51" formatCode="0.0%">
                  <c:v>7.3587694004437376E-2</c:v>
                </c:pt>
                <c:pt idx="52" formatCode="0.0%">
                  <c:v>7.5069160677213684E-2</c:v>
                </c:pt>
                <c:pt idx="53" formatCode="0.0%">
                  <c:v>8.3382729556335244E-2</c:v>
                </c:pt>
                <c:pt idx="54" formatCode="0.0%">
                  <c:v>9.2888956982734888E-2</c:v>
                </c:pt>
                <c:pt idx="55" formatCode="0.0%">
                  <c:v>9.0974923517863751E-2</c:v>
                </c:pt>
                <c:pt idx="56" formatCode="0.0%">
                  <c:v>8.7483494730085265E-2</c:v>
                </c:pt>
                <c:pt idx="57" formatCode="0.0%">
                  <c:v>8.785950437435873E-2</c:v>
                </c:pt>
                <c:pt idx="58" formatCode="0.0%">
                  <c:v>9.0987245678905648E-2</c:v>
                </c:pt>
                <c:pt idx="59" formatCode="0.0%">
                  <c:v>9.6807112642503398E-2</c:v>
                </c:pt>
                <c:pt idx="60" formatCode="0.0%">
                  <c:v>9.5376337875222719E-2</c:v>
                </c:pt>
                <c:pt idx="61" formatCode="0.0%">
                  <c:v>7.6323673056253247E-2</c:v>
                </c:pt>
                <c:pt idx="62" formatCode="0.0%">
                  <c:v>7.6310423334359362E-2</c:v>
                </c:pt>
                <c:pt idx="63" formatCode="0.0%">
                  <c:v>7.7079963175039207E-2</c:v>
                </c:pt>
                <c:pt idx="64" formatCode="0.0%">
                  <c:v>7.3886872680407015E-2</c:v>
                </c:pt>
                <c:pt idx="65" formatCode="0.0%">
                  <c:v>6.9665902627534068E-2</c:v>
                </c:pt>
                <c:pt idx="66" formatCode="0.0%">
                  <c:v>6.2295997685995572E-2</c:v>
                </c:pt>
                <c:pt idx="67" formatCode="0.0%">
                  <c:v>6.2036774246010742E-2</c:v>
                </c:pt>
                <c:pt idx="68" formatCode="0.0%">
                  <c:v>6.561504793551684E-2</c:v>
                </c:pt>
                <c:pt idx="69" formatCode="0.0%">
                  <c:v>6.4496514171784439E-2</c:v>
                </c:pt>
                <c:pt idx="70" formatCode="0.0%">
                  <c:v>6.8653215218271127E-2</c:v>
                </c:pt>
                <c:pt idx="71" formatCode="0.0%">
                  <c:v>6.2865518770910483E-2</c:v>
                </c:pt>
                <c:pt idx="72" formatCode="0.0%">
                  <c:v>5.6999087253633562E-2</c:v>
                </c:pt>
                <c:pt idx="73" formatCode="0.0%">
                  <c:v>5.8701293690607975E-2</c:v>
                </c:pt>
                <c:pt idx="74" formatCode="0.0%">
                  <c:v>5.0652897106330599E-2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17-4829-B828-5EA69FF43836}"/>
            </c:ext>
          </c:extLst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GIB!$Q$2:$Q$76</c:f>
              <c:strCache>
                <c:ptCount val="75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  <c:pt idx="71">
                  <c:v>2018Q1</c:v>
                </c:pt>
                <c:pt idx="72">
                  <c:v>2018Q2</c:v>
                </c:pt>
                <c:pt idx="73">
                  <c:v>2018Q3</c:v>
                </c:pt>
                <c:pt idx="74">
                  <c:v>2018Q4</c:v>
                </c:pt>
              </c:strCache>
            </c:strRef>
          </c:cat>
          <c:val>
            <c:numRef>
              <c:f>GIB!$R$2:$R$76</c:f>
              <c:numCache>
                <c:formatCode>0.0%</c:formatCode>
                <c:ptCount val="75"/>
                <c:pt idx="0">
                  <c:v>-4.8162404672732827E-2</c:v>
                </c:pt>
                <c:pt idx="1">
                  <c:v>-5.8929937429781414E-2</c:v>
                </c:pt>
                <c:pt idx="2">
                  <c:v>-1.1383094531827155E-2</c:v>
                </c:pt>
                <c:pt idx="3">
                  <c:v>-8.5505593588984311E-3</c:v>
                </c:pt>
                <c:pt idx="4">
                  <c:v>7.3985301574639485E-3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A9-4071-8A5D-61D9C9D06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13856"/>
        <c:axId val="198312320"/>
      </c:lineChart>
      <c:valAx>
        <c:axId val="19831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lumMod val="15000"/>
                  <a:lumOff val="85000"/>
                </a:sysClr>
              </a:solidFill>
              <a:prstDash val="solid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% Ajuste Resultado Primario</a:t>
                </a:r>
              </a:p>
            </c:rich>
          </c:tx>
          <c:layout>
            <c:manualLayout>
              <c:xMode val="edge"/>
              <c:yMode val="edge"/>
              <c:x val="8.5952299440830767E-3"/>
              <c:y val="0.12900537078927013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spPr>
          <a:solidFill>
            <a:sysClr val="window" lastClr="FFFFFF"/>
          </a:solidFill>
          <a:ln w="12700">
            <a:solidFill>
              <a:sysClr val="windowText" lastClr="000000"/>
            </a:solidFill>
            <a:prstDash val="solid"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198313856"/>
        <c:crosses val="autoZero"/>
        <c:crossBetween val="midCat"/>
      </c:valAx>
      <c:catAx>
        <c:axId val="1983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es-EC"/>
          </a:p>
        </c:txPr>
        <c:crossAx val="198312320"/>
        <c:crosses val="autoZero"/>
        <c:auto val="1"/>
        <c:lblAlgn val="ctr"/>
        <c:lblOffset val="100"/>
        <c:tickLblSkip val="2"/>
        <c:noMultiLvlLbl val="0"/>
      </c:catAx>
      <c:spPr>
        <a:noFill/>
        <a:ln w="9525">
          <a:solidFill>
            <a:srgbClr val="A6A6A6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12700" cap="flat" cmpd="sng" algn="ctr">
      <a:noFill/>
      <a:round/>
    </a:ln>
    <a:effectLst/>
  </c:spPr>
  <c:txPr>
    <a:bodyPr/>
    <a:lstStyle/>
    <a:p>
      <a:pPr>
        <a:defRPr>
          <a:ln>
            <a:noFill/>
          </a:ln>
          <a:solidFill>
            <a:sysClr val="windowText" lastClr="000000"/>
          </a:solidFill>
          <a:latin typeface="Univers LT Pro 57 Condensed" panose="020B0506020202050204" pitchFamily="34" charset="0"/>
          <a:cs typeface="Arial" panose="020B0604020202020204" pitchFamily="34" charset="0"/>
        </a:defRPr>
      </a:pPr>
      <a:endParaRPr lang="es-EC"/>
    </a:p>
  </c:txPr>
  <c:printSettings>
    <c:headerFooter/>
    <c:pageMargins b="0.750000000000001" l="0.70000000000000095" r="0.70000000000000095" t="0.750000000000001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C" sz="1100"/>
              <a:t>Gráfico 15: Crecimiento real estructural del PIB tributario y PIB total (crecimiento trimestral t/t-4) </a:t>
            </a:r>
          </a:p>
        </c:rich>
      </c:tx>
      <c:layout>
        <c:manualLayout>
          <c:xMode val="edge"/>
          <c:yMode val="edge"/>
          <c:x val="0.13194594017094019"/>
          <c:y val="4.349999999999998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772005811315289E-2"/>
          <c:y val="0.19413119658119657"/>
          <c:w val="0.93267891503545453"/>
          <c:h val="0.4817188034188033"/>
        </c:manualLayout>
      </c:layout>
      <c:lineChart>
        <c:grouping val="standard"/>
        <c:varyColors val="0"/>
        <c:ser>
          <c:idx val="0"/>
          <c:order val="0"/>
          <c:tx>
            <c:strRef>
              <c:f>'PIB TRIB TASA DE CREC'!$B$1</c:f>
              <c:strCache>
                <c:ptCount val="1"/>
                <c:pt idx="0">
                  <c:v>PIB tributario potencial </c:v>
                </c:pt>
              </c:strCache>
            </c:strRef>
          </c:tx>
          <c:spPr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'PIB TRIB TASA DE CREC'!$A$7:$A$77</c:f>
              <c:strCache>
                <c:ptCount val="71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</c:strCache>
            </c:strRef>
          </c:cat>
          <c:val>
            <c:numRef>
              <c:f>'PIB TRIB TASA DE CREC'!$C$7:$C$77</c:f>
              <c:numCache>
                <c:formatCode>0.0%</c:formatCode>
                <c:ptCount val="71"/>
                <c:pt idx="0">
                  <c:v>5.3053576938586477E-3</c:v>
                </c:pt>
                <c:pt idx="1">
                  <c:v>9.1995500261512486E-3</c:v>
                </c:pt>
                <c:pt idx="2">
                  <c:v>1.3662929983848882E-2</c:v>
                </c:pt>
                <c:pt idx="3">
                  <c:v>1.8215393815427916E-2</c:v>
                </c:pt>
                <c:pt idx="4">
                  <c:v>2.248989704197446E-2</c:v>
                </c:pt>
                <c:pt idx="5">
                  <c:v>2.6273074905315497E-2</c:v>
                </c:pt>
                <c:pt idx="6">
                  <c:v>2.9552075986633453E-2</c:v>
                </c:pt>
                <c:pt idx="7">
                  <c:v>3.2387664262629512E-2</c:v>
                </c:pt>
                <c:pt idx="8">
                  <c:v>3.480260931666046E-2</c:v>
                </c:pt>
                <c:pt idx="9">
                  <c:v>3.6768649071664328E-2</c:v>
                </c:pt>
                <c:pt idx="10">
                  <c:v>3.8194567990224026E-2</c:v>
                </c:pt>
                <c:pt idx="11">
                  <c:v>3.9059796707934691E-2</c:v>
                </c:pt>
                <c:pt idx="12">
                  <c:v>3.9508168136548782E-2</c:v>
                </c:pt>
                <c:pt idx="13">
                  <c:v>3.9828667348053237E-2</c:v>
                </c:pt>
                <c:pt idx="14">
                  <c:v>4.0357487392248981E-2</c:v>
                </c:pt>
                <c:pt idx="15">
                  <c:v>4.1339618416912138E-2</c:v>
                </c:pt>
                <c:pt idx="16">
                  <c:v>4.2850533868954876E-2</c:v>
                </c:pt>
                <c:pt idx="17">
                  <c:v>4.4744734363659111E-2</c:v>
                </c:pt>
                <c:pt idx="18">
                  <c:v>4.673219886050517E-2</c:v>
                </c:pt>
                <c:pt idx="19">
                  <c:v>4.8484928259149074E-2</c:v>
                </c:pt>
                <c:pt idx="20">
                  <c:v>4.9758142133205396E-2</c:v>
                </c:pt>
                <c:pt idx="21">
                  <c:v>5.044027807956053E-2</c:v>
                </c:pt>
                <c:pt idx="22">
                  <c:v>5.0581433649280028E-2</c:v>
                </c:pt>
                <c:pt idx="23">
                  <c:v>5.0349984307041185E-2</c:v>
                </c:pt>
                <c:pt idx="24">
                  <c:v>4.993722134871037E-2</c:v>
                </c:pt>
                <c:pt idx="25">
                  <c:v>4.9519518155837439E-2</c:v>
                </c:pt>
                <c:pt idx="26">
                  <c:v>4.9187318191208362E-2</c:v>
                </c:pt>
                <c:pt idx="27">
                  <c:v>4.8955904695971331E-2</c:v>
                </c:pt>
                <c:pt idx="28">
                  <c:v>4.8775064313374861E-2</c:v>
                </c:pt>
                <c:pt idx="29">
                  <c:v>4.8532108373291916E-2</c:v>
                </c:pt>
                <c:pt idx="30">
                  <c:v>4.8038823226283167E-2</c:v>
                </c:pt>
                <c:pt idx="31">
                  <c:v>4.7037569540204771E-2</c:v>
                </c:pt>
                <c:pt idx="32">
                  <c:v>4.5254211832592484E-2</c:v>
                </c:pt>
                <c:pt idx="33">
                  <c:v>4.2453863734384534E-2</c:v>
                </c:pt>
                <c:pt idx="34">
                  <c:v>3.8601773728831779E-2</c:v>
                </c:pt>
                <c:pt idx="35">
                  <c:v>3.392450166488481E-2</c:v>
                </c:pt>
                <c:pt idx="36">
                  <c:v>2.898131877043908E-2</c:v>
                </c:pt>
                <c:pt idx="37">
                  <c:v>2.4605675669042704E-2</c:v>
                </c:pt>
                <c:pt idx="38">
                  <c:v>2.1684092349873119E-2</c:v>
                </c:pt>
                <c:pt idx="39">
                  <c:v>2.0951394384405075E-2</c:v>
                </c:pt>
                <c:pt idx="40">
                  <c:v>2.2695370064050424E-2</c:v>
                </c:pt>
                <c:pt idx="41">
                  <c:v>2.6711010871507179E-2</c:v>
                </c:pt>
                <c:pt idx="42">
                  <c:v>3.2378338184627431E-2</c:v>
                </c:pt>
                <c:pt idx="43">
                  <c:v>3.8824667919476141E-2</c:v>
                </c:pt>
                <c:pt idx="44">
                  <c:v>4.5193854748442064E-2</c:v>
                </c:pt>
                <c:pt idx="45">
                  <c:v>5.0775653939181042E-2</c:v>
                </c:pt>
                <c:pt idx="46">
                  <c:v>5.5106461861249567E-2</c:v>
                </c:pt>
                <c:pt idx="47">
                  <c:v>5.7991076796962693E-2</c:v>
                </c:pt>
                <c:pt idx="48">
                  <c:v>5.941397174023999E-2</c:v>
                </c:pt>
                <c:pt idx="49">
                  <c:v>5.948815053473866E-2</c:v>
                </c:pt>
                <c:pt idx="50">
                  <c:v>5.8375792332763909E-2</c:v>
                </c:pt>
                <c:pt idx="51">
                  <c:v>5.6211382072358429E-2</c:v>
                </c:pt>
                <c:pt idx="52">
                  <c:v>5.3086432353534496E-2</c:v>
                </c:pt>
                <c:pt idx="53">
                  <c:v>4.9042901371861181E-2</c:v>
                </c:pt>
                <c:pt idx="54">
                  <c:v>4.409796526486276E-2</c:v>
                </c:pt>
                <c:pt idx="55">
                  <c:v>3.8298154745010526E-2</c:v>
                </c:pt>
                <c:pt idx="56">
                  <c:v>3.1803761771935335E-2</c:v>
                </c:pt>
                <c:pt idx="57">
                  <c:v>2.4852008154754968E-2</c:v>
                </c:pt>
                <c:pt idx="58">
                  <c:v>1.7713577218634757E-2</c:v>
                </c:pt>
                <c:pt idx="59">
                  <c:v>1.0681837276586448E-2</c:v>
                </c:pt>
                <c:pt idx="60">
                  <c:v>4.0189576252116499E-3</c:v>
                </c:pt>
                <c:pt idx="61">
                  <c:v>-1.9398378555707252E-3</c:v>
                </c:pt>
                <c:pt idx="62">
                  <c:v>-6.7833382167518108E-3</c:v>
                </c:pt>
                <c:pt idx="63">
                  <c:v>-1.0105035647778093E-2</c:v>
                </c:pt>
                <c:pt idx="64">
                  <c:v>-1.1580655679458429E-2</c:v>
                </c:pt>
                <c:pt idx="65">
                  <c:v>-1.1154885979444251E-2</c:v>
                </c:pt>
                <c:pt idx="66">
                  <c:v>-9.0794302570559315E-3</c:v>
                </c:pt>
                <c:pt idx="67">
                  <c:v>-5.8907931041992656E-3</c:v>
                </c:pt>
                <c:pt idx="68">
                  <c:v>-2.306110991987631E-3</c:v>
                </c:pt>
                <c:pt idx="69">
                  <c:v>9.8201493212646263E-4</c:v>
                </c:pt>
                <c:pt idx="70">
                  <c:v>3.4625883485497333E-3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19-43D5-91DB-D0F357F3DAED}"/>
            </c:ext>
          </c:extLst>
        </c:ser>
        <c:ser>
          <c:idx val="1"/>
          <c:order val="1"/>
          <c:tx>
            <c:strRef>
              <c:f>'PIB TRIB TASA DE CREC'!$H$1</c:f>
              <c:strCache>
                <c:ptCount val="1"/>
                <c:pt idx="0">
                  <c:v>PIB potencial</c:v>
                </c:pt>
              </c:strCache>
            </c:strRef>
          </c:tx>
          <c:marker>
            <c:symbol val="none"/>
          </c:marker>
          <c:cat>
            <c:strRef>
              <c:f>'PIB TRIB TASA DE CREC'!$A$7:$A$77</c:f>
              <c:strCache>
                <c:ptCount val="71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</c:strCache>
            </c:strRef>
          </c:cat>
          <c:val>
            <c:numRef>
              <c:f>'PIB TRIB TASA DE CREC'!$I$7:$I$77</c:f>
              <c:numCache>
                <c:formatCode>0.0%</c:formatCode>
                <c:ptCount val="71"/>
                <c:pt idx="0">
                  <c:v>3.7990622513439654E-4</c:v>
                </c:pt>
                <c:pt idx="1">
                  <c:v>4.4850162735499133E-3</c:v>
                </c:pt>
                <c:pt idx="2">
                  <c:v>9.3650296869167704E-3</c:v>
                </c:pt>
                <c:pt idx="3">
                  <c:v>1.454170109439934E-2</c:v>
                </c:pt>
                <c:pt idx="4">
                  <c:v>1.9544382002563587E-2</c:v>
                </c:pt>
                <c:pt idx="5">
                  <c:v>2.402579424368434E-2</c:v>
                </c:pt>
                <c:pt idx="6">
                  <c:v>2.7831412297447233E-2</c:v>
                </c:pt>
                <c:pt idx="7">
                  <c:v>3.0977254899896556E-2</c:v>
                </c:pt>
                <c:pt idx="8">
                  <c:v>3.3606407383195203E-2</c:v>
                </c:pt>
                <c:pt idx="9">
                  <c:v>3.5897001296063991E-2</c:v>
                </c:pt>
                <c:pt idx="10">
                  <c:v>3.8008463255647662E-2</c:v>
                </c:pt>
                <c:pt idx="11">
                  <c:v>4.010680178029169E-2</c:v>
                </c:pt>
                <c:pt idx="12">
                  <c:v>4.2382346052948217E-2</c:v>
                </c:pt>
                <c:pt idx="13">
                  <c:v>4.502632910354909E-2</c:v>
                </c:pt>
                <c:pt idx="14">
                  <c:v>4.8112381332043874E-2</c:v>
                </c:pt>
                <c:pt idx="15">
                  <c:v>5.1503223992028335E-2</c:v>
                </c:pt>
                <c:pt idx="16">
                  <c:v>5.4859097557836689E-2</c:v>
                </c:pt>
                <c:pt idx="17">
                  <c:v>5.7677824896962715E-2</c:v>
                </c:pt>
                <c:pt idx="18">
                  <c:v>5.9512105790748393E-2</c:v>
                </c:pt>
                <c:pt idx="19">
                  <c:v>6.0116116018562149E-2</c:v>
                </c:pt>
                <c:pt idx="20">
                  <c:v>5.9480695036580045E-2</c:v>
                </c:pt>
                <c:pt idx="21">
                  <c:v>5.7808160115826013E-2</c:v>
                </c:pt>
                <c:pt idx="22">
                  <c:v>5.5399714905855824E-2</c:v>
                </c:pt>
                <c:pt idx="23">
                  <c:v>5.2563701707568411E-2</c:v>
                </c:pt>
                <c:pt idx="24">
                  <c:v>4.9563914355803096E-2</c:v>
                </c:pt>
                <c:pt idx="25">
                  <c:v>4.6605982724266859E-2</c:v>
                </c:pt>
                <c:pt idx="26">
                  <c:v>4.3834862837574873E-2</c:v>
                </c:pt>
                <c:pt idx="27">
                  <c:v>4.1382794871116735E-2</c:v>
                </c:pt>
                <c:pt idx="28">
                  <c:v>3.9378734847825614E-2</c:v>
                </c:pt>
                <c:pt idx="29">
                  <c:v>3.7921217931230489E-2</c:v>
                </c:pt>
                <c:pt idx="30">
                  <c:v>3.703233580794163E-2</c:v>
                </c:pt>
                <c:pt idx="31">
                  <c:v>3.6588668506992938E-2</c:v>
                </c:pt>
                <c:pt idx="32">
                  <c:v>3.6323515985489774E-2</c:v>
                </c:pt>
                <c:pt idx="33">
                  <c:v>3.5910121452852994E-2</c:v>
                </c:pt>
                <c:pt idx="34">
                  <c:v>3.5081972575785825E-2</c:v>
                </c:pt>
                <c:pt idx="35">
                  <c:v>3.3755532637356866E-2</c:v>
                </c:pt>
                <c:pt idx="36">
                  <c:v>3.2127056683322719E-2</c:v>
                </c:pt>
                <c:pt idx="37">
                  <c:v>3.064241003495316E-2</c:v>
                </c:pt>
                <c:pt idx="38">
                  <c:v>2.9890667037161256E-2</c:v>
                </c:pt>
                <c:pt idx="39">
                  <c:v>3.0428198032420584E-2</c:v>
                </c:pt>
                <c:pt idx="40">
                  <c:v>3.2554231927627297E-2</c:v>
                </c:pt>
                <c:pt idx="41">
                  <c:v>3.6221079927810207E-2</c:v>
                </c:pt>
                <c:pt idx="42">
                  <c:v>4.1031159968853093E-2</c:v>
                </c:pt>
                <c:pt idx="43">
                  <c:v>4.6336363837168992E-2</c:v>
                </c:pt>
                <c:pt idx="44">
                  <c:v>5.1441531762106418E-2</c:v>
                </c:pt>
                <c:pt idx="45">
                  <c:v>5.5745291740583625E-2</c:v>
                </c:pt>
                <c:pt idx="46">
                  <c:v>5.8851841232620661E-2</c:v>
                </c:pt>
                <c:pt idx="47">
                  <c:v>6.0631679584071341E-2</c:v>
                </c:pt>
                <c:pt idx="48">
                  <c:v>6.1156927871161448E-2</c:v>
                </c:pt>
                <c:pt idx="49">
                  <c:v>6.0645738806847094E-2</c:v>
                </c:pt>
                <c:pt idx="50">
                  <c:v>5.9375983998938509E-2</c:v>
                </c:pt>
                <c:pt idx="51">
                  <c:v>5.7576170426889117E-2</c:v>
                </c:pt>
                <c:pt idx="52">
                  <c:v>5.5382550472118819E-2</c:v>
                </c:pt>
                <c:pt idx="53">
                  <c:v>5.2806752345677888E-2</c:v>
                </c:pt>
                <c:pt idx="54">
                  <c:v>4.9751341556901307E-2</c:v>
                </c:pt>
                <c:pt idx="55">
                  <c:v>4.6099012165074171E-2</c:v>
                </c:pt>
                <c:pt idx="56">
                  <c:v>4.1789504662391064E-2</c:v>
                </c:pt>
                <c:pt idx="57">
                  <c:v>3.6837973103907906E-2</c:v>
                </c:pt>
                <c:pt idx="58">
                  <c:v>3.1347603110286837E-2</c:v>
                </c:pt>
                <c:pt idx="59">
                  <c:v>2.5478028302711841E-2</c:v>
                </c:pt>
                <c:pt idx="60">
                  <c:v>1.9440174294935719E-2</c:v>
                </c:pt>
                <c:pt idx="61">
                  <c:v>1.3563215552076846E-2</c:v>
                </c:pt>
                <c:pt idx="62">
                  <c:v>8.2585933873691175E-3</c:v>
                </c:pt>
                <c:pt idx="63">
                  <c:v>3.9595677744690416E-3</c:v>
                </c:pt>
                <c:pt idx="64">
                  <c:v>1.0268248918321454E-3</c:v>
                </c:pt>
                <c:pt idx="65">
                  <c:v>-4.0664167857529243E-4</c:v>
                </c:pt>
                <c:pt idx="66">
                  <c:v>-4.5060271036279076E-4</c:v>
                </c:pt>
                <c:pt idx="67">
                  <c:v>5.5184107172912E-4</c:v>
                </c:pt>
                <c:pt idx="68">
                  <c:v>2.1070802321914162E-3</c:v>
                </c:pt>
                <c:pt idx="69">
                  <c:v>3.7257131767669538E-3</c:v>
                </c:pt>
                <c:pt idx="70">
                  <c:v>5.0231296431184624E-3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19-43D5-91DB-D0F357F3D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468736"/>
        <c:axId val="198470272"/>
      </c:lineChart>
      <c:catAx>
        <c:axId val="198468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s-EC"/>
          </a:p>
        </c:txPr>
        <c:crossAx val="19847027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98470272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98468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429508547008553"/>
          <c:y val="0.86555769230769231"/>
          <c:w val="0.55140982905982905"/>
          <c:h val="5.3032051282051275E-2"/>
        </c:manualLayout>
      </c:layout>
      <c:overlay val="0"/>
      <c:txPr>
        <a:bodyPr/>
        <a:lstStyle/>
        <a:p>
          <a:pPr>
            <a:defRPr sz="800"/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C" sz="1100"/>
              <a:t>Gráfico 14: Tasa de interés implcícita de la deuda</a:t>
            </a:r>
          </a:p>
        </c:rich>
      </c:tx>
      <c:layout>
        <c:manualLayout>
          <c:xMode val="edge"/>
          <c:yMode val="edge"/>
          <c:x val="0.2979226745669557"/>
          <c:y val="9.259259259259258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4051512655713438E-2"/>
          <c:y val="0.1111111111111111"/>
          <c:w val="0.92469244546273277"/>
          <c:h val="0.652646908719743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Hoja1!$A$3:$A$73</c:f>
              <c:strCache>
                <c:ptCount val="71"/>
                <c:pt idx="0">
                  <c:v>2000Q2</c:v>
                </c:pt>
                <c:pt idx="1">
                  <c:v>2000Q3</c:v>
                </c:pt>
                <c:pt idx="2">
                  <c:v>2000Q4</c:v>
                </c:pt>
                <c:pt idx="3">
                  <c:v>2001Q1</c:v>
                </c:pt>
                <c:pt idx="4">
                  <c:v>2001Q2</c:v>
                </c:pt>
                <c:pt idx="5">
                  <c:v>2001Q3</c:v>
                </c:pt>
                <c:pt idx="6">
                  <c:v>2001Q4</c:v>
                </c:pt>
                <c:pt idx="7">
                  <c:v>2002Q1</c:v>
                </c:pt>
                <c:pt idx="8">
                  <c:v>2002Q2</c:v>
                </c:pt>
                <c:pt idx="9">
                  <c:v>2002Q3</c:v>
                </c:pt>
                <c:pt idx="10">
                  <c:v>2002Q4</c:v>
                </c:pt>
                <c:pt idx="11">
                  <c:v>2003Q1</c:v>
                </c:pt>
                <c:pt idx="12">
                  <c:v>2003Q2</c:v>
                </c:pt>
                <c:pt idx="13">
                  <c:v>2003Q3</c:v>
                </c:pt>
                <c:pt idx="14">
                  <c:v>2003Q4</c:v>
                </c:pt>
                <c:pt idx="15">
                  <c:v>2004Q1</c:v>
                </c:pt>
                <c:pt idx="16">
                  <c:v>2004Q2</c:v>
                </c:pt>
                <c:pt idx="17">
                  <c:v>2004Q3</c:v>
                </c:pt>
                <c:pt idx="18">
                  <c:v>2004Q4</c:v>
                </c:pt>
                <c:pt idx="19">
                  <c:v>2005Q1</c:v>
                </c:pt>
                <c:pt idx="20">
                  <c:v>2005Q2</c:v>
                </c:pt>
                <c:pt idx="21">
                  <c:v>2005Q3</c:v>
                </c:pt>
                <c:pt idx="22">
                  <c:v>2005Q4</c:v>
                </c:pt>
                <c:pt idx="23">
                  <c:v>2006Q1</c:v>
                </c:pt>
                <c:pt idx="24">
                  <c:v>2006Q2</c:v>
                </c:pt>
                <c:pt idx="25">
                  <c:v>2006Q3</c:v>
                </c:pt>
                <c:pt idx="26">
                  <c:v>2006Q4</c:v>
                </c:pt>
                <c:pt idx="27">
                  <c:v>2007Q1</c:v>
                </c:pt>
                <c:pt idx="28">
                  <c:v>2007Q2</c:v>
                </c:pt>
                <c:pt idx="29">
                  <c:v>2007Q3</c:v>
                </c:pt>
                <c:pt idx="30">
                  <c:v>2007Q4</c:v>
                </c:pt>
                <c:pt idx="31">
                  <c:v>2008Q1</c:v>
                </c:pt>
                <c:pt idx="32">
                  <c:v>2008Q2</c:v>
                </c:pt>
                <c:pt idx="33">
                  <c:v>2008Q3</c:v>
                </c:pt>
                <c:pt idx="34">
                  <c:v>2008Q4</c:v>
                </c:pt>
                <c:pt idx="35">
                  <c:v>2009Q1</c:v>
                </c:pt>
                <c:pt idx="36">
                  <c:v>2009Q2</c:v>
                </c:pt>
                <c:pt idx="37">
                  <c:v>2009Q3</c:v>
                </c:pt>
                <c:pt idx="38">
                  <c:v>2009Q4</c:v>
                </c:pt>
                <c:pt idx="39">
                  <c:v>2010Q1</c:v>
                </c:pt>
                <c:pt idx="40">
                  <c:v>2010Q2</c:v>
                </c:pt>
                <c:pt idx="41">
                  <c:v>2010Q3</c:v>
                </c:pt>
                <c:pt idx="42">
                  <c:v>2010Q4</c:v>
                </c:pt>
                <c:pt idx="43">
                  <c:v>2011Q1</c:v>
                </c:pt>
                <c:pt idx="44">
                  <c:v>2011Q2</c:v>
                </c:pt>
                <c:pt idx="45">
                  <c:v>2011Q3</c:v>
                </c:pt>
                <c:pt idx="46">
                  <c:v>2011Q4</c:v>
                </c:pt>
                <c:pt idx="47">
                  <c:v>2012Q1</c:v>
                </c:pt>
                <c:pt idx="48">
                  <c:v>2012Q2</c:v>
                </c:pt>
                <c:pt idx="49">
                  <c:v>2012Q3</c:v>
                </c:pt>
                <c:pt idx="50">
                  <c:v>2012Q4</c:v>
                </c:pt>
                <c:pt idx="51">
                  <c:v>2013Q1</c:v>
                </c:pt>
                <c:pt idx="52">
                  <c:v>2013Q2</c:v>
                </c:pt>
                <c:pt idx="53">
                  <c:v>2013Q3</c:v>
                </c:pt>
                <c:pt idx="54">
                  <c:v>2013Q4</c:v>
                </c:pt>
                <c:pt idx="55">
                  <c:v>2014Q1</c:v>
                </c:pt>
                <c:pt idx="56">
                  <c:v>2014Q2</c:v>
                </c:pt>
                <c:pt idx="57">
                  <c:v>2014Q3</c:v>
                </c:pt>
                <c:pt idx="58">
                  <c:v>2014Q4</c:v>
                </c:pt>
                <c:pt idx="59">
                  <c:v>2015Q1</c:v>
                </c:pt>
                <c:pt idx="60">
                  <c:v>2015Q2</c:v>
                </c:pt>
                <c:pt idx="61">
                  <c:v>2015Q3</c:v>
                </c:pt>
                <c:pt idx="62">
                  <c:v>2015Q4</c:v>
                </c:pt>
                <c:pt idx="63">
                  <c:v>2016Q1</c:v>
                </c:pt>
                <c:pt idx="64">
                  <c:v>2016Q2</c:v>
                </c:pt>
                <c:pt idx="65">
                  <c:v>2016Q3</c:v>
                </c:pt>
                <c:pt idx="66">
                  <c:v>2016Q4</c:v>
                </c:pt>
                <c:pt idx="67">
                  <c:v>2017Q1</c:v>
                </c:pt>
                <c:pt idx="68">
                  <c:v>2017Q2</c:v>
                </c:pt>
                <c:pt idx="69">
                  <c:v>2017Q3</c:v>
                </c:pt>
                <c:pt idx="70">
                  <c:v>2017Q4</c:v>
                </c:pt>
              </c:strCache>
            </c:strRef>
          </c:cat>
          <c:val>
            <c:numRef>
              <c:f>Hoja1!$K$3:$K$73</c:f>
              <c:numCache>
                <c:formatCode>0.0%</c:formatCode>
                <c:ptCount val="71"/>
                <c:pt idx="0">
                  <c:v>7.7719905995201316E-2</c:v>
                </c:pt>
                <c:pt idx="1">
                  <c:v>8.7532057045835665E-2</c:v>
                </c:pt>
                <c:pt idx="2">
                  <c:v>8.2000175360322627E-2</c:v>
                </c:pt>
                <c:pt idx="3">
                  <c:v>7.9765369808574599E-2</c:v>
                </c:pt>
                <c:pt idx="4">
                  <c:v>7.4901091734287356E-2</c:v>
                </c:pt>
                <c:pt idx="5">
                  <c:v>6.6118266191403111E-2</c:v>
                </c:pt>
                <c:pt idx="6">
                  <c:v>7.4609742208407714E-2</c:v>
                </c:pt>
                <c:pt idx="7">
                  <c:v>7.639454623392869E-2</c:v>
                </c:pt>
                <c:pt idx="8">
                  <c:v>7.0674709813071376E-2</c:v>
                </c:pt>
                <c:pt idx="9">
                  <c:v>6.9712131035264385E-2</c:v>
                </c:pt>
                <c:pt idx="10">
                  <c:v>6.8515313395998451E-2</c:v>
                </c:pt>
                <c:pt idx="11">
                  <c:v>6.3557471941629279E-2</c:v>
                </c:pt>
                <c:pt idx="12">
                  <c:v>6.5356969793819067E-2</c:v>
                </c:pt>
                <c:pt idx="13">
                  <c:v>6.3400964717218053E-2</c:v>
                </c:pt>
                <c:pt idx="14">
                  <c:v>6.5889098405142899E-2</c:v>
                </c:pt>
                <c:pt idx="15">
                  <c:v>6.957218175791105E-2</c:v>
                </c:pt>
                <c:pt idx="16">
                  <c:v>6.9252193054366529E-2</c:v>
                </c:pt>
                <c:pt idx="17">
                  <c:v>6.501360333955325E-2</c:v>
                </c:pt>
                <c:pt idx="18">
                  <c:v>6.0829688537296339E-2</c:v>
                </c:pt>
                <c:pt idx="19">
                  <c:v>5.959447657255848E-2</c:v>
                </c:pt>
                <c:pt idx="20">
                  <c:v>5.8087658385818822E-2</c:v>
                </c:pt>
                <c:pt idx="21">
                  <c:v>6.1105155348017207E-2</c:v>
                </c:pt>
                <c:pt idx="22">
                  <c:v>6.3082993901107429E-2</c:v>
                </c:pt>
                <c:pt idx="23">
                  <c:v>6.0501661044266949E-2</c:v>
                </c:pt>
                <c:pt idx="24">
                  <c:v>6.8511846246185976E-2</c:v>
                </c:pt>
                <c:pt idx="25">
                  <c:v>7.5261406257635693E-2</c:v>
                </c:pt>
                <c:pt idx="26">
                  <c:v>7.4352549216369274E-2</c:v>
                </c:pt>
                <c:pt idx="27">
                  <c:v>7.3558255521906535E-2</c:v>
                </c:pt>
                <c:pt idx="28">
                  <c:v>7.5784056423360502E-2</c:v>
                </c:pt>
                <c:pt idx="29">
                  <c:v>6.8400647879764492E-2</c:v>
                </c:pt>
                <c:pt idx="30">
                  <c:v>6.711363347325186E-2</c:v>
                </c:pt>
                <c:pt idx="31">
                  <c:v>6.576159476908737E-2</c:v>
                </c:pt>
                <c:pt idx="32">
                  <c:v>6.9309478628029428E-2</c:v>
                </c:pt>
                <c:pt idx="33">
                  <c:v>6.5439644529728447E-2</c:v>
                </c:pt>
                <c:pt idx="34">
                  <c:v>5.6957393287533971E-2</c:v>
                </c:pt>
                <c:pt idx="35">
                  <c:v>4.5428643182612236E-2</c:v>
                </c:pt>
                <c:pt idx="36">
                  <c:v>6.4115469001579231E-2</c:v>
                </c:pt>
                <c:pt idx="37">
                  <c:v>5.3037846325214411E-2</c:v>
                </c:pt>
                <c:pt idx="38">
                  <c:v>5.5367421300171644E-2</c:v>
                </c:pt>
                <c:pt idx="39">
                  <c:v>5.607281085053703E-2</c:v>
                </c:pt>
                <c:pt idx="40">
                  <c:v>4.7589703535760502E-2</c:v>
                </c:pt>
                <c:pt idx="41">
                  <c:v>3.8518310369511366E-2</c:v>
                </c:pt>
                <c:pt idx="42">
                  <c:v>4.358955200122587E-2</c:v>
                </c:pt>
                <c:pt idx="43">
                  <c:v>4.4838721362884484E-2</c:v>
                </c:pt>
                <c:pt idx="44">
                  <c:v>5.3558726426917641E-2</c:v>
                </c:pt>
                <c:pt idx="45">
                  <c:v>5.366945079752794E-2</c:v>
                </c:pt>
                <c:pt idx="46">
                  <c:v>5.4348775824696147E-2</c:v>
                </c:pt>
                <c:pt idx="47">
                  <c:v>5.4422052301725893E-2</c:v>
                </c:pt>
                <c:pt idx="48">
                  <c:v>4.915858518906524E-2</c:v>
                </c:pt>
                <c:pt idx="49">
                  <c:v>4.835447549679827E-2</c:v>
                </c:pt>
                <c:pt idx="50">
                  <c:v>4.6692198222981138E-2</c:v>
                </c:pt>
                <c:pt idx="51">
                  <c:v>4.5707953916868146E-2</c:v>
                </c:pt>
                <c:pt idx="52">
                  <c:v>5.0832221622710783E-2</c:v>
                </c:pt>
                <c:pt idx="53">
                  <c:v>5.2892171924245328E-2</c:v>
                </c:pt>
                <c:pt idx="54">
                  <c:v>5.3329299674430494E-2</c:v>
                </c:pt>
                <c:pt idx="55">
                  <c:v>5.4577191339219136E-2</c:v>
                </c:pt>
                <c:pt idx="56">
                  <c:v>4.9142395351080767E-2</c:v>
                </c:pt>
                <c:pt idx="57">
                  <c:v>5.0731061401142169E-2</c:v>
                </c:pt>
                <c:pt idx="58">
                  <c:v>5.0085726684051E-2</c:v>
                </c:pt>
                <c:pt idx="59">
                  <c:v>5.0854869065204408E-2</c:v>
                </c:pt>
                <c:pt idx="60">
                  <c:v>5.419566715433248E-2</c:v>
                </c:pt>
                <c:pt idx="61">
                  <c:v>5.6086051753374479E-2</c:v>
                </c:pt>
                <c:pt idx="62">
                  <c:v>5.5597648142584027E-2</c:v>
                </c:pt>
                <c:pt idx="63">
                  <c:v>5.3245031874059615E-2</c:v>
                </c:pt>
                <c:pt idx="64">
                  <c:v>5.393455705658852E-2</c:v>
                </c:pt>
                <c:pt idx="65">
                  <c:v>5.4153998111812519E-2</c:v>
                </c:pt>
                <c:pt idx="66">
                  <c:v>5.4220773759066185E-2</c:v>
                </c:pt>
                <c:pt idx="67">
                  <c:v>5.3899476231991914E-2</c:v>
                </c:pt>
                <c:pt idx="68">
                  <c:v>5.1874467467140181E-2</c:v>
                </c:pt>
                <c:pt idx="69">
                  <c:v>5.6232580288352124E-2</c:v>
                </c:pt>
                <c:pt idx="70">
                  <c:v>5.4894899052624777E-2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04-41F9-8978-2F5B2AF0B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615040"/>
        <c:axId val="198616576"/>
      </c:lineChart>
      <c:catAx>
        <c:axId val="198615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8616576"/>
        <c:crosses val="autoZero"/>
        <c:auto val="1"/>
        <c:lblAlgn val="ctr"/>
        <c:lblOffset val="100"/>
        <c:noMultiLvlLbl val="0"/>
      </c:catAx>
      <c:valAx>
        <c:axId val="19861657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1986150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800">
          <a:latin typeface="Times New Roman" pitchFamily="18" charset="0"/>
          <a:cs typeface="Times New Roman" pitchFamily="18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'Ingreso estructural no oil'!$AJ$2</c:f>
              <c:strCache>
                <c:ptCount val="1"/>
                <c:pt idx="0">
                  <c:v>Ingresos CI GC                  $Mn.</c:v>
                </c:pt>
              </c:strCache>
            </c:strRef>
          </c:tx>
          <c:marker>
            <c:symbol val="none"/>
          </c:marker>
          <c:cat>
            <c:strRef>
              <c:f>'Ingreso estructural no oil'!$AI$3:$AI$79</c:f>
              <c:strCache>
                <c:ptCount val="77"/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oil'!$AJ$3:$AJ$79</c:f>
              <c:numCache>
                <c:formatCode>#,##0.00</c:formatCode>
                <c:ptCount val="77"/>
                <c:pt idx="0">
                  <c:v>622.79999999999995</c:v>
                </c:pt>
                <c:pt idx="1">
                  <c:v>613</c:v>
                </c:pt>
                <c:pt idx="2">
                  <c:v>514.19999999999993</c:v>
                </c:pt>
                <c:pt idx="3">
                  <c:v>425.2</c:v>
                </c:pt>
                <c:pt idx="4">
                  <c:v>348.4</c:v>
                </c:pt>
                <c:pt idx="5">
                  <c:v>313.90000000000003</c:v>
                </c:pt>
                <c:pt idx="6">
                  <c:v>313.39999999999998</c:v>
                </c:pt>
                <c:pt idx="7">
                  <c:v>325.5</c:v>
                </c:pt>
                <c:pt idx="8">
                  <c:v>312.8</c:v>
                </c:pt>
                <c:pt idx="9">
                  <c:v>319.19999999999993</c:v>
                </c:pt>
                <c:pt idx="10">
                  <c:v>335.7</c:v>
                </c:pt>
                <c:pt idx="11">
                  <c:v>335.5</c:v>
                </c:pt>
                <c:pt idx="12">
                  <c:v>371.9</c:v>
                </c:pt>
                <c:pt idx="13">
                  <c:v>392.59999999999997</c:v>
                </c:pt>
                <c:pt idx="14">
                  <c:v>405.9</c:v>
                </c:pt>
                <c:pt idx="15">
                  <c:v>421.59999999999997</c:v>
                </c:pt>
                <c:pt idx="16">
                  <c:v>421.3</c:v>
                </c:pt>
                <c:pt idx="17">
                  <c:v>406.9</c:v>
                </c:pt>
                <c:pt idx="18">
                  <c:v>398.3</c:v>
                </c:pt>
                <c:pt idx="19">
                  <c:v>385.2</c:v>
                </c:pt>
                <c:pt idx="20">
                  <c:v>382.09999999999997</c:v>
                </c:pt>
                <c:pt idx="21">
                  <c:v>386.29999999999995</c:v>
                </c:pt>
                <c:pt idx="22">
                  <c:v>388.9</c:v>
                </c:pt>
                <c:pt idx="23">
                  <c:v>411.90000000000003</c:v>
                </c:pt>
                <c:pt idx="24">
                  <c:v>453.7</c:v>
                </c:pt>
                <c:pt idx="25">
                  <c:v>485.89468671572689</c:v>
                </c:pt>
                <c:pt idx="26">
                  <c:v>524.86969742236124</c:v>
                </c:pt>
                <c:pt idx="27">
                  <c:v>542.57395160830561</c:v>
                </c:pt>
                <c:pt idx="28">
                  <c:v>546.54266100513087</c:v>
                </c:pt>
                <c:pt idx="29">
                  <c:v>561.46408272300403</c:v>
                </c:pt>
                <c:pt idx="30">
                  <c:v>575.87095964970706</c:v>
                </c:pt>
                <c:pt idx="31">
                  <c:v>601.41307539152126</c:v>
                </c:pt>
                <c:pt idx="32">
                  <c:v>618.19360512925414</c:v>
                </c:pt>
                <c:pt idx="33">
                  <c:v>628.1628130956542</c:v>
                </c:pt>
                <c:pt idx="34">
                  <c:v>634.61951845485419</c:v>
                </c:pt>
                <c:pt idx="35">
                  <c:v>640.05666803145425</c:v>
                </c:pt>
                <c:pt idx="36">
                  <c:v>678.58192852125421</c:v>
                </c:pt>
                <c:pt idx="37">
                  <c:v>701.89084095125418</c:v>
                </c:pt>
                <c:pt idx="38">
                  <c:v>743.02871529871663</c:v>
                </c:pt>
                <c:pt idx="39">
                  <c:v>780.47087503075568</c:v>
                </c:pt>
                <c:pt idx="40">
                  <c:v>789.25993482134868</c:v>
                </c:pt>
                <c:pt idx="41">
                  <c:v>836.5172082113487</c:v>
                </c:pt>
                <c:pt idx="42">
                  <c:v>901.4347385513488</c:v>
                </c:pt>
                <c:pt idx="43">
                  <c:v>936.39845034495124</c:v>
                </c:pt>
                <c:pt idx="44">
                  <c:v>1039.0662117000002</c:v>
                </c:pt>
                <c:pt idx="45">
                  <c:v>1174.2086229800002</c:v>
                </c:pt>
                <c:pt idx="46">
                  <c:v>1313.3725425000002</c:v>
                </c:pt>
                <c:pt idx="47">
                  <c:v>1479.88695553</c:v>
                </c:pt>
                <c:pt idx="48">
                  <c:v>1580.16325181</c:v>
                </c:pt>
                <c:pt idx="49">
                  <c:v>1613.5294616799999</c:v>
                </c:pt>
                <c:pt idx="50">
                  <c:v>1620.6532013116293</c:v>
                </c:pt>
                <c:pt idx="51">
                  <c:v>1648.6854256893823</c:v>
                </c:pt>
                <c:pt idx="52">
                  <c:v>1714.3936695071352</c:v>
                </c:pt>
                <c:pt idx="53">
                  <c:v>1929.371938137135</c:v>
                </c:pt>
                <c:pt idx="54">
                  <c:v>2129.6200018455056</c:v>
                </c:pt>
                <c:pt idx="55">
                  <c:v>2340.7219644077531</c:v>
                </c:pt>
                <c:pt idx="56">
                  <c:v>2536.42649454</c:v>
                </c:pt>
                <c:pt idx="57">
                  <c:v>2593.1323175400003</c:v>
                </c:pt>
                <c:pt idx="58">
                  <c:v>2640.8948209999999</c:v>
                </c:pt>
                <c:pt idx="59">
                  <c:v>2675.5329430000002</c:v>
                </c:pt>
                <c:pt idx="60">
                  <c:v>2674.6723950000001</c:v>
                </c:pt>
                <c:pt idx="61">
                  <c:v>2652.5345999400001</c:v>
                </c:pt>
                <c:pt idx="62">
                  <c:v>2641.0240741000002</c:v>
                </c:pt>
                <c:pt idx="63">
                  <c:v>2646.5459057500002</c:v>
                </c:pt>
                <c:pt idx="64">
                  <c:v>2762.7477114399999</c:v>
                </c:pt>
                <c:pt idx="65">
                  <c:v>2906.4283825800003</c:v>
                </c:pt>
                <c:pt idx="66">
                  <c:v>3111.02287204</c:v>
                </c:pt>
                <c:pt idx="67">
                  <c:v>3316.0985861000004</c:v>
                </c:pt>
                <c:pt idx="68">
                  <c:v>3303.5429029500001</c:v>
                </c:pt>
                <c:pt idx="69">
                  <c:v>3188.5604455000002</c:v>
                </c:pt>
                <c:pt idx="70">
                  <c:v>2900.4835914200003</c:v>
                </c:pt>
                <c:pt idx="71">
                  <c:v>2632.8259678100003</c:v>
                </c:pt>
                <c:pt idx="72">
                  <c:v>2523.6503682000002</c:v>
                </c:pt>
                <c:pt idx="73">
                  <c:v>2460.1275890100001</c:v>
                </c:pt>
                <c:pt idx="74">
                  <c:v>2457.0862313400003</c:v>
                </c:pt>
                <c:pt idx="75">
                  <c:v>2434.3524305300002</c:v>
                </c:pt>
                <c:pt idx="76">
                  <c:v>2402.5756544800001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0-4CA1-9CB9-3AD30972610C}"/>
            </c:ext>
          </c:extLst>
        </c:ser>
        <c:ser>
          <c:idx val="1"/>
          <c:order val="1"/>
          <c:tx>
            <c:strRef>
              <c:f>'Ingreso estructural no oil'!$AM$2</c:f>
              <c:strCache>
                <c:ptCount val="1"/>
                <c:pt idx="0">
                  <c:v>Ing. Estructural</c:v>
                </c:pt>
              </c:strCache>
            </c:strRef>
          </c:tx>
          <c:marker>
            <c:symbol val="none"/>
          </c:marker>
          <c:cat>
            <c:strRef>
              <c:f>'Ingreso estructural no oil'!$AI$3:$AI$79</c:f>
              <c:strCache>
                <c:ptCount val="77"/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oil'!$AM$3:$AM$79</c:f>
              <c:numCache>
                <c:formatCode>General</c:formatCode>
                <c:ptCount val="77"/>
                <c:pt idx="1">
                  <c:v>611.07096586886746</c:v>
                </c:pt>
                <c:pt idx="2">
                  <c:v>508.43867898644004</c:v>
                </c:pt>
                <c:pt idx="3">
                  <c:v>428.52418286344425</c:v>
                </c:pt>
                <c:pt idx="4">
                  <c:v>357.98659386573649</c:v>
                </c:pt>
                <c:pt idx="5">
                  <c:v>326.02668251395187</c:v>
                </c:pt>
                <c:pt idx="6">
                  <c:v>313.77935007067276</c:v>
                </c:pt>
                <c:pt idx="7">
                  <c:v>339.90450715623757</c:v>
                </c:pt>
                <c:pt idx="8">
                  <c:v>301.6694855280993</c:v>
                </c:pt>
                <c:pt idx="9">
                  <c:v>319.16458602242443</c:v>
                </c:pt>
                <c:pt idx="10">
                  <c:v>334.28383545405069</c:v>
                </c:pt>
                <c:pt idx="11">
                  <c:v>335.52125546076019</c:v>
                </c:pt>
                <c:pt idx="12">
                  <c:v>369.23771055453813</c:v>
                </c:pt>
                <c:pt idx="13">
                  <c:v>390.16895535598456</c:v>
                </c:pt>
                <c:pt idx="14">
                  <c:v>404.28575324805598</c:v>
                </c:pt>
                <c:pt idx="15">
                  <c:v>419.11231072048002</c:v>
                </c:pt>
                <c:pt idx="16">
                  <c:v>421.3425895522733</c:v>
                </c:pt>
                <c:pt idx="17">
                  <c:v>408.19526111630603</c:v>
                </c:pt>
                <c:pt idx="18">
                  <c:v>396.48806097106245</c:v>
                </c:pt>
                <c:pt idx="19">
                  <c:v>378.70610383974139</c:v>
                </c:pt>
                <c:pt idx="20">
                  <c:v>380.52746402807963</c:v>
                </c:pt>
                <c:pt idx="21">
                  <c:v>388.47191152786502</c:v>
                </c:pt>
                <c:pt idx="22">
                  <c:v>389.18388101253197</c:v>
                </c:pt>
                <c:pt idx="23">
                  <c:v>409.604474079243</c:v>
                </c:pt>
                <c:pt idx="24">
                  <c:v>444.86729231225274</c:v>
                </c:pt>
                <c:pt idx="25">
                  <c:v>477.4737050976438</c:v>
                </c:pt>
                <c:pt idx="26">
                  <c:v>515.5373221633007</c:v>
                </c:pt>
                <c:pt idx="27">
                  <c:v>539.86855259597689</c:v>
                </c:pt>
                <c:pt idx="28">
                  <c:v>546.04672961385063</c:v>
                </c:pt>
                <c:pt idx="29">
                  <c:v>560.24084138023045</c:v>
                </c:pt>
                <c:pt idx="30">
                  <c:v>574.89989501389152</c:v>
                </c:pt>
                <c:pt idx="31">
                  <c:v>596.86351561314052</c:v>
                </c:pt>
                <c:pt idx="32">
                  <c:v>615.01396074459728</c:v>
                </c:pt>
                <c:pt idx="33">
                  <c:v>627.98546315366775</c:v>
                </c:pt>
                <c:pt idx="34">
                  <c:v>636.65482918534292</c:v>
                </c:pt>
                <c:pt idx="35">
                  <c:v>642.59044474633163</c:v>
                </c:pt>
                <c:pt idx="36">
                  <c:v>690.28444838995961</c:v>
                </c:pt>
                <c:pt idx="37">
                  <c:v>705.10303582599306</c:v>
                </c:pt>
                <c:pt idx="38">
                  <c:v>743.10565098145128</c:v>
                </c:pt>
                <c:pt idx="39">
                  <c:v>775.22016552967193</c:v>
                </c:pt>
                <c:pt idx="40">
                  <c:v>783.75423006343283</c:v>
                </c:pt>
                <c:pt idx="41">
                  <c:v>731.88000535302228</c:v>
                </c:pt>
                <c:pt idx="42">
                  <c:v>943.80868919572401</c:v>
                </c:pt>
                <c:pt idx="43">
                  <c:v>970.14851727220901</c:v>
                </c:pt>
                <c:pt idx="44">
                  <c:v>1097.2386267206421</c:v>
                </c:pt>
                <c:pt idx="45">
                  <c:v>1260.2790859054214</c:v>
                </c:pt>
                <c:pt idx="46">
                  <c:v>1451.1757888298182</c:v>
                </c:pt>
                <c:pt idx="47">
                  <c:v>1632.6896474824716</c:v>
                </c:pt>
                <c:pt idx="48">
                  <c:v>1624.8359988532893</c:v>
                </c:pt>
                <c:pt idx="49">
                  <c:v>1622.4793653196016</c:v>
                </c:pt>
                <c:pt idx="50">
                  <c:v>1620.9355741460015</c:v>
                </c:pt>
                <c:pt idx="51">
                  <c:v>1645.1568447973516</c:v>
                </c:pt>
                <c:pt idx="52">
                  <c:v>1705.2250522572801</c:v>
                </c:pt>
                <c:pt idx="53">
                  <c:v>1891.9830488564182</c:v>
                </c:pt>
                <c:pt idx="54">
                  <c:v>2090.4672448263755</c:v>
                </c:pt>
                <c:pt idx="55">
                  <c:v>2315.4807784590112</c:v>
                </c:pt>
                <c:pt idx="56">
                  <c:v>2529.7932897422447</c:v>
                </c:pt>
                <c:pt idx="57">
                  <c:v>2601.7147464261852</c:v>
                </c:pt>
                <c:pt idx="58">
                  <c:v>2651.0341212960548</c:v>
                </c:pt>
                <c:pt idx="59" formatCode="0.00">
                  <c:v>2676.9815288338355</c:v>
                </c:pt>
                <c:pt idx="60" formatCode="0.00">
                  <c:v>2674.7214818049006</c:v>
                </c:pt>
                <c:pt idx="61" formatCode="0.00">
                  <c:v>2654.045602249183</c:v>
                </c:pt>
                <c:pt idx="62" formatCode="0.00">
                  <c:v>2642.7441915103409</c:v>
                </c:pt>
                <c:pt idx="63" formatCode="0.00">
                  <c:v>2644.8779060513316</c:v>
                </c:pt>
                <c:pt idx="64" formatCode="0.00">
                  <c:v>2655.2714918800443</c:v>
                </c:pt>
                <c:pt idx="65" formatCode="0.00">
                  <c:v>2681.0517458747363</c:v>
                </c:pt>
                <c:pt idx="66" formatCode="0.00">
                  <c:v>3825.9657356353205</c:v>
                </c:pt>
                <c:pt idx="67" formatCode="0.00">
                  <c:v>3480.5210397740866</c:v>
                </c:pt>
                <c:pt idx="68" formatCode="0.00">
                  <c:v>3301.6364772432216</c:v>
                </c:pt>
                <c:pt idx="69" formatCode="0.00">
                  <c:v>3807.2933703247918</c:v>
                </c:pt>
                <c:pt idx="70" formatCode="0.00">
                  <c:v>5098.6523118075829</c:v>
                </c:pt>
                <c:pt idx="71" formatCode="0.00">
                  <c:v>2792.62928233807</c:v>
                </c:pt>
                <c:pt idx="72" formatCode="0.00">
                  <c:v>2380.0671163731795</c:v>
                </c:pt>
                <c:pt idx="73" formatCode="0.00">
                  <c:v>2410.3649998608057</c:v>
                </c:pt>
                <c:pt idx="74" formatCode="0.00">
                  <c:v>2455.4199885266908</c:v>
                </c:pt>
                <c:pt idx="75" formatCode="0.00">
                  <c:v>2431.6460425430482</c:v>
                </c:pt>
                <c:pt idx="76" formatCode="0.00">
                  <c:v>2409.479118067105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D0-4CA1-9CB9-3AD30972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860032"/>
        <c:axId val="96861568"/>
      </c:lineChart>
      <c:catAx>
        <c:axId val="96860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861568"/>
        <c:crosses val="autoZero"/>
        <c:auto val="1"/>
        <c:lblAlgn val="ctr"/>
        <c:lblOffset val="100"/>
        <c:noMultiLvlLbl val="0"/>
      </c:catAx>
      <c:valAx>
        <c:axId val="9686156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6860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711614097661742"/>
          <c:y val="0.41365987133176735"/>
          <c:w val="0.20306790936761066"/>
          <c:h val="0.28249790214838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903436631562749E-2"/>
          <c:y val="3.3644063267121486E-2"/>
          <c:w val="0.57124123564604479"/>
          <c:h val="0.82336592386718943"/>
        </c:manualLayout>
      </c:layout>
      <c:lineChart>
        <c:grouping val="standard"/>
        <c:varyColors val="0"/>
        <c:ser>
          <c:idx val="0"/>
          <c:order val="0"/>
          <c:tx>
            <c:strRef>
              <c:f>'Ingreso estructural no oil'!$AP$2</c:f>
              <c:strCache>
                <c:ptCount val="1"/>
                <c:pt idx="0">
                  <c:v>Ingresos VEHI GC                  $Mn.</c:v>
                </c:pt>
              </c:strCache>
            </c:strRef>
          </c:tx>
          <c:marker>
            <c:symbol val="none"/>
          </c:marker>
          <c:cat>
            <c:strRef>
              <c:f>'Ingreso estructural no oil'!$AO$3:$AO$79</c:f>
              <c:strCache>
                <c:ptCount val="77"/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oil'!$AP$3:$AP$79</c:f>
              <c:numCache>
                <c:formatCode>#,##0.00</c:formatCode>
                <c:ptCount val="77"/>
                <c:pt idx="0">
                  <c:v>59.100000000000009</c:v>
                </c:pt>
                <c:pt idx="1">
                  <c:v>143.9</c:v>
                </c:pt>
                <c:pt idx="2">
                  <c:v>230.6</c:v>
                </c:pt>
                <c:pt idx="3">
                  <c:v>331</c:v>
                </c:pt>
                <c:pt idx="4">
                  <c:v>411.20000000000005</c:v>
                </c:pt>
                <c:pt idx="5">
                  <c:v>361.20000000000005</c:v>
                </c:pt>
                <c:pt idx="6">
                  <c:v>305.89999999999998</c:v>
                </c:pt>
                <c:pt idx="7">
                  <c:v>236.5</c:v>
                </c:pt>
                <c:pt idx="8">
                  <c:v>193.39999999999998</c:v>
                </c:pt>
                <c:pt idx="9">
                  <c:v>164.7</c:v>
                </c:pt>
                <c:pt idx="10">
                  <c:v>123.3</c:v>
                </c:pt>
                <c:pt idx="11">
                  <c:v>83.199999999999989</c:v>
                </c:pt>
                <c:pt idx="12">
                  <c:v>38</c:v>
                </c:pt>
                <c:pt idx="13">
                  <c:v>32.900000000000006</c:v>
                </c:pt>
                <c:pt idx="14">
                  <c:v>41.699999999999996</c:v>
                </c:pt>
                <c:pt idx="15">
                  <c:v>46.899999999999991</c:v>
                </c:pt>
                <c:pt idx="16">
                  <c:v>46.699999999999996</c:v>
                </c:pt>
                <c:pt idx="17">
                  <c:v>46.1</c:v>
                </c:pt>
                <c:pt idx="18">
                  <c:v>46.1</c:v>
                </c:pt>
                <c:pt idx="19">
                  <c:v>46.8</c:v>
                </c:pt>
                <c:pt idx="20">
                  <c:v>52</c:v>
                </c:pt>
                <c:pt idx="21">
                  <c:v>61.9</c:v>
                </c:pt>
                <c:pt idx="22">
                  <c:v>68.900000000000006</c:v>
                </c:pt>
                <c:pt idx="23">
                  <c:v>77.400000000000006</c:v>
                </c:pt>
                <c:pt idx="24">
                  <c:v>88.1</c:v>
                </c:pt>
                <c:pt idx="25">
                  <c:v>82.741243139999995</c:v>
                </c:pt>
                <c:pt idx="26">
                  <c:v>76.672578720000004</c:v>
                </c:pt>
                <c:pt idx="27">
                  <c:v>69.86114692999999</c:v>
                </c:pt>
                <c:pt idx="28">
                  <c:v>62.378845049999995</c:v>
                </c:pt>
                <c:pt idx="29">
                  <c:v>60.637785229999992</c:v>
                </c:pt>
                <c:pt idx="30">
                  <c:v>64.602328239999991</c:v>
                </c:pt>
                <c:pt idx="31">
                  <c:v>67.319929540000004</c:v>
                </c:pt>
                <c:pt idx="32">
                  <c:v>72.137686880000004</c:v>
                </c:pt>
                <c:pt idx="33">
                  <c:v>73.657929610000011</c:v>
                </c:pt>
                <c:pt idx="34">
                  <c:v>71.703803719999996</c:v>
                </c:pt>
                <c:pt idx="35">
                  <c:v>77.510702080000002</c:v>
                </c:pt>
                <c:pt idx="36">
                  <c:v>74.250447249999993</c:v>
                </c:pt>
                <c:pt idx="37">
                  <c:v>93.961209010000005</c:v>
                </c:pt>
                <c:pt idx="38">
                  <c:v>108.91363204000001</c:v>
                </c:pt>
                <c:pt idx="39">
                  <c:v>123.22115605</c:v>
                </c:pt>
                <c:pt idx="40">
                  <c:v>143.35280934000002</c:v>
                </c:pt>
                <c:pt idx="41">
                  <c:v>133.03679492999999</c:v>
                </c:pt>
                <c:pt idx="42">
                  <c:v>131.91385408313607</c:v>
                </c:pt>
                <c:pt idx="43">
                  <c:v>186.12236681313604</c:v>
                </c:pt>
                <c:pt idx="44">
                  <c:v>233.45400247957741</c:v>
                </c:pt>
                <c:pt idx="45">
                  <c:v>363.92572907957742</c:v>
                </c:pt>
                <c:pt idx="46">
                  <c:v>422.17619419644137</c:v>
                </c:pt>
                <c:pt idx="47">
                  <c:v>435.97318958644132</c:v>
                </c:pt>
                <c:pt idx="48">
                  <c:v>444.15059999999994</c:v>
                </c:pt>
                <c:pt idx="49">
                  <c:v>365.92314599999997</c:v>
                </c:pt>
                <c:pt idx="50">
                  <c:v>328.15064599999999</c:v>
                </c:pt>
                <c:pt idx="51">
                  <c:v>259.54924600000004</c:v>
                </c:pt>
                <c:pt idx="52">
                  <c:v>202.44264600000002</c:v>
                </c:pt>
                <c:pt idx="53">
                  <c:v>204.4221</c:v>
                </c:pt>
                <c:pt idx="54">
                  <c:v>230.55769999999998</c:v>
                </c:pt>
                <c:pt idx="55">
                  <c:v>267.74379999999996</c:v>
                </c:pt>
                <c:pt idx="56">
                  <c:v>305.84590000000003</c:v>
                </c:pt>
                <c:pt idx="57">
                  <c:v>324.53059999999999</c:v>
                </c:pt>
                <c:pt idx="58">
                  <c:v>342.43714202000001</c:v>
                </c:pt>
                <c:pt idx="59">
                  <c:v>347.31011202000002</c:v>
                </c:pt>
                <c:pt idx="60">
                  <c:v>345.73461202000004</c:v>
                </c:pt>
                <c:pt idx="61">
                  <c:v>348.56997202000002</c:v>
                </c:pt>
                <c:pt idx="62">
                  <c:v>349.2124</c:v>
                </c:pt>
                <c:pt idx="63">
                  <c:v>355.82752999999997</c:v>
                </c:pt>
                <c:pt idx="64">
                  <c:v>357.68315999999993</c:v>
                </c:pt>
                <c:pt idx="65">
                  <c:v>368.5779</c:v>
                </c:pt>
                <c:pt idx="66">
                  <c:v>366.88412999999997</c:v>
                </c:pt>
                <c:pt idx="67">
                  <c:v>363.60523000000001</c:v>
                </c:pt>
                <c:pt idx="68">
                  <c:v>358.50169999999997</c:v>
                </c:pt>
                <c:pt idx="69">
                  <c:v>446.73876256</c:v>
                </c:pt>
                <c:pt idx="70">
                  <c:v>680.38459625999997</c:v>
                </c:pt>
                <c:pt idx="71" formatCode="0.00">
                  <c:v>1381.4106393989998</c:v>
                </c:pt>
                <c:pt idx="72" formatCode="0.00">
                  <c:v>1740.9047923145388</c:v>
                </c:pt>
                <c:pt idx="73" formatCode="0.00">
                  <c:v>1915.2241513225381</c:v>
                </c:pt>
                <c:pt idx="74" formatCode="0.00">
                  <c:v>1927.570997622538</c:v>
                </c:pt>
                <c:pt idx="75" formatCode="0.00">
                  <c:v>1282.1320044835384</c:v>
                </c:pt>
                <c:pt idx="76" formatCode="0.00">
                  <c:v>996.12606156799939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9-42B1-B605-BE773E02E02C}"/>
            </c:ext>
          </c:extLst>
        </c:ser>
        <c:ser>
          <c:idx val="1"/>
          <c:order val="1"/>
          <c:tx>
            <c:strRef>
              <c:f>'Ingreso estructural no oil'!$AS$2</c:f>
              <c:strCache>
                <c:ptCount val="1"/>
                <c:pt idx="0">
                  <c:v>Ing. Estructural</c:v>
                </c:pt>
              </c:strCache>
            </c:strRef>
          </c:tx>
          <c:marker>
            <c:symbol val="none"/>
          </c:marker>
          <c:cat>
            <c:strRef>
              <c:f>'Ingreso estructural no oil'!$AO$3:$AO$79</c:f>
              <c:strCache>
                <c:ptCount val="77"/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oil'!$AS$3:$AS$79</c:f>
              <c:numCache>
                <c:formatCode>0.00</c:formatCode>
                <c:ptCount val="77"/>
                <c:pt idx="1">
                  <c:v>191.81354485084597</c:v>
                </c:pt>
                <c:pt idx="2">
                  <c:v>240.52051227609996</c:v>
                </c:pt>
                <c:pt idx="3">
                  <c:v>324.57908097976417</c:v>
                </c:pt>
                <c:pt idx="4">
                  <c:v>396.4962855849127</c:v>
                </c:pt>
                <c:pt idx="5">
                  <c:v>378.40932009825696</c:v>
                </c:pt>
                <c:pt idx="6">
                  <c:v>343.6180749677016</c:v>
                </c:pt>
                <c:pt idx="7">
                  <c:v>183.36839676664076</c:v>
                </c:pt>
                <c:pt idx="8">
                  <c:v>163.2899223053098</c:v>
                </c:pt>
                <c:pt idx="9">
                  <c:v>164.83259174014279</c:v>
                </c:pt>
                <c:pt idx="10">
                  <c:v>125.86094585686482</c:v>
                </c:pt>
                <c:pt idx="11">
                  <c:v>86.127665995373533</c:v>
                </c:pt>
                <c:pt idx="12">
                  <c:v>39.391916698566284</c:v>
                </c:pt>
                <c:pt idx="13">
                  <c:v>33.396461275992529</c:v>
                </c:pt>
                <c:pt idx="14">
                  <c:v>40.408414490840151</c:v>
                </c:pt>
                <c:pt idx="15">
                  <c:v>46.013654486718984</c:v>
                </c:pt>
                <c:pt idx="16">
                  <c:v>46.728299228721184</c:v>
                </c:pt>
                <c:pt idx="17">
                  <c:v>46.155106525002523</c:v>
                </c:pt>
                <c:pt idx="18">
                  <c:v>46.1</c:v>
                </c:pt>
                <c:pt idx="19">
                  <c:v>47.168802118924262</c:v>
                </c:pt>
                <c:pt idx="20">
                  <c:v>55.046679222932994</c:v>
                </c:pt>
                <c:pt idx="21">
                  <c:v>68.212584460193014</c:v>
                </c:pt>
                <c:pt idx="22">
                  <c:v>69.749929514481778</c:v>
                </c:pt>
                <c:pt idx="23">
                  <c:v>76.502932370303682</c:v>
                </c:pt>
                <c:pt idx="24">
                  <c:v>85.771808071269731</c:v>
                </c:pt>
                <c:pt idx="25">
                  <c:v>83.990536309559317</c:v>
                </c:pt>
                <c:pt idx="26">
                  <c:v>77.940711237094121</c:v>
                </c:pt>
                <c:pt idx="27">
                  <c:v>70.786968391791774</c:v>
                </c:pt>
                <c:pt idx="28">
                  <c:v>63.213545673986332</c:v>
                </c:pt>
                <c:pt idx="29">
                  <c:v>60.773142479236945</c:v>
                </c:pt>
                <c:pt idx="30">
                  <c:v>64.325120059819128</c:v>
                </c:pt>
                <c:pt idx="31">
                  <c:v>66.836836287644886</c:v>
                </c:pt>
                <c:pt idx="32">
                  <c:v>71.189846738975504</c:v>
                </c:pt>
                <c:pt idx="33">
                  <c:v>73.630754325538902</c:v>
                </c:pt>
                <c:pt idx="34">
                  <c:v>71.113650324773317</c:v>
                </c:pt>
                <c:pt idx="35">
                  <c:v>80.460092214941184</c:v>
                </c:pt>
                <c:pt idx="36">
                  <c:v>73.368528348519874</c:v>
                </c:pt>
                <c:pt idx="37">
                  <c:v>97.336092835036624</c:v>
                </c:pt>
                <c:pt idx="38">
                  <c:v>108.94425405218308</c:v>
                </c:pt>
                <c:pt idx="39">
                  <c:v>121.07172831532522</c:v>
                </c:pt>
                <c:pt idx="40">
                  <c:v>129.5088608784946</c:v>
                </c:pt>
                <c:pt idx="41">
                  <c:v>156.2148212640794</c:v>
                </c:pt>
                <c:pt idx="42">
                  <c:v>126.64445095857806</c:v>
                </c:pt>
                <c:pt idx="43">
                  <c:v>270.84505475703509</c:v>
                </c:pt>
                <c:pt idx="44">
                  <c:v>264.89506528380116</c:v>
                </c:pt>
                <c:pt idx="45">
                  <c:v>493.20024493879214</c:v>
                </c:pt>
                <c:pt idx="46">
                  <c:v>483.07567194998745</c:v>
                </c:pt>
                <c:pt idx="47">
                  <c:v>447.15696886922206</c:v>
                </c:pt>
                <c:pt idx="48">
                  <c:v>447.59145376984065</c:v>
                </c:pt>
                <c:pt idx="49">
                  <c:v>349.42354908528148</c:v>
                </c:pt>
                <c:pt idx="50">
                  <c:v>326.81669845582928</c:v>
                </c:pt>
                <c:pt idx="51">
                  <c:v>266.35811015360372</c:v>
                </c:pt>
                <c:pt idx="52">
                  <c:v>208.52522594423172</c:v>
                </c:pt>
                <c:pt idx="53">
                  <c:v>204.11040848658394</c:v>
                </c:pt>
                <c:pt idx="54">
                  <c:v>225.34741833679556</c:v>
                </c:pt>
                <c:pt idx="55">
                  <c:v>263.0619517424285</c:v>
                </c:pt>
                <c:pt idx="56">
                  <c:v>304.48576113698726</c:v>
                </c:pt>
                <c:pt idx="57">
                  <c:v>327.47409773480007</c:v>
                </c:pt>
                <c:pt idx="58">
                  <c:v>346.39075487744731</c:v>
                </c:pt>
                <c:pt idx="59">
                  <c:v>347.51413119453872</c:v>
                </c:pt>
                <c:pt idx="60">
                  <c:v>345.82411251410485</c:v>
                </c:pt>
                <c:pt idx="61">
                  <c:v>348.37334217653705</c:v>
                </c:pt>
                <c:pt idx="62">
                  <c:v>349.11584509967344</c:v>
                </c:pt>
                <c:pt idx="63">
                  <c:v>353.80082220411219</c:v>
                </c:pt>
                <c:pt idx="64">
                  <c:v>356.00144369699626</c:v>
                </c:pt>
                <c:pt idx="65">
                  <c:v>351.55928463452597</c:v>
                </c:pt>
                <c:pt idx="66">
                  <c:v>361.96298874878664</c:v>
                </c:pt>
                <c:pt idx="67">
                  <c:v>361.22741911783856</c:v>
                </c:pt>
                <c:pt idx="68">
                  <c:v>357.73536344399002</c:v>
                </c:pt>
                <c:pt idx="69">
                  <c:v>127.46735669952376</c:v>
                </c:pt>
                <c:pt idx="70">
                  <c:v>961.25029444491804</c:v>
                </c:pt>
                <c:pt idx="71">
                  <c:v>1067.14635950154</c:v>
                </c:pt>
                <c:pt idx="72">
                  <c:v>1149.48841659042</c:v>
                </c:pt>
                <c:pt idx="73">
                  <c:v>1196.90016476101</c:v>
                </c:pt>
                <c:pt idx="74">
                  <c:v>1203.91941889689</c:v>
                </c:pt>
                <c:pt idx="75">
                  <c:v>1172.2671922340401</c:v>
                </c:pt>
                <c:pt idx="76">
                  <c:v>1110.9010038194399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9-42B1-B605-BE773E02E02C}"/>
            </c:ext>
          </c:extLst>
        </c:ser>
        <c:ser>
          <c:idx val="2"/>
          <c:order val="2"/>
          <c:tx>
            <c:strRef>
              <c:f>'Ingreso estructural no oil'!$AT$2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'Ingreso estructural no oil'!$AO$3:$AO$79</c:f>
              <c:strCache>
                <c:ptCount val="77"/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oil'!$AT$3:$AT$79</c:f>
              <c:numCache>
                <c:formatCode>General</c:formatCode>
                <c:ptCount val="77"/>
                <c:pt idx="0">
                  <c:v>207.881245606947</c:v>
                </c:pt>
                <c:pt idx="1">
                  <c:v>223.78085686899701</c:v>
                </c:pt>
                <c:pt idx="2">
                  <c:v>238.19265567497899</c:v>
                </c:pt>
                <c:pt idx="3">
                  <c:v>248.83002100013101</c:v>
                </c:pt>
                <c:pt idx="4">
                  <c:v>253.33040526294599</c:v>
                </c:pt>
                <c:pt idx="5">
                  <c:v>250.15296067191301</c:v>
                </c:pt>
                <c:pt idx="6">
                  <c:v>239.33553538289101</c:v>
                </c:pt>
                <c:pt idx="7">
                  <c:v>222.02644794502299</c:v>
                </c:pt>
                <c:pt idx="8">
                  <c:v>200.039661553619</c:v>
                </c:pt>
                <c:pt idx="9" formatCode="0.00">
                  <c:v>175.33387492454401</c:v>
                </c:pt>
                <c:pt idx="10" formatCode="0.00">
                  <c:v>149.80139015812199</c:v>
                </c:pt>
                <c:pt idx="11" formatCode="0.00">
                  <c:v>125.228170605434</c:v>
                </c:pt>
                <c:pt idx="12" formatCode="0.00">
                  <c:v>103.135165715979</c:v>
                </c:pt>
                <c:pt idx="13" formatCode="0.00">
                  <c:v>84.623043233202196</c:v>
                </c:pt>
                <c:pt idx="14" formatCode="0.00">
                  <c:v>70.141119243388403</c:v>
                </c:pt>
                <c:pt idx="15" formatCode="0.00">
                  <c:v>59.621479400490998</c:v>
                </c:pt>
                <c:pt idx="16" formatCode="0.00">
                  <c:v>52.711798166029197</c:v>
                </c:pt>
                <c:pt idx="17" formatCode="0.00">
                  <c:v>48.932535207517198</c:v>
                </c:pt>
                <c:pt idx="18" formatCode="0.00">
                  <c:v>47.744032210809003</c:v>
                </c:pt>
                <c:pt idx="19" formatCode="0.00">
                  <c:v>48.578305509683503</c:v>
                </c:pt>
                <c:pt idx="20" formatCode="0.00">
                  <c:v>50.850931115811399</c:v>
                </c:pt>
                <c:pt idx="21" formatCode="0.00">
                  <c:v>53.959701985766699</c:v>
                </c:pt>
                <c:pt idx="22" formatCode="0.00">
                  <c:v>57.313901764965102</c:v>
                </c:pt>
                <c:pt idx="23" formatCode="0.00">
                  <c:v>60.402217078964597</c:v>
                </c:pt>
                <c:pt idx="24" formatCode="0.00">
                  <c:v>62.829195535673797</c:v>
                </c:pt>
                <c:pt idx="25" formatCode="0.00">
                  <c:v>64.369362572211301</c:v>
                </c:pt>
                <c:pt idx="26" formatCode="0.00">
                  <c:v>65.049951670339198</c:v>
                </c:pt>
                <c:pt idx="27" formatCode="0.00">
                  <c:v>65.081902686097493</c:v>
                </c:pt>
                <c:pt idx="28" formatCode="0.00">
                  <c:v>64.792355958822498</c:v>
                </c:pt>
                <c:pt idx="29" formatCode="0.00">
                  <c:v>64.556232800990003</c:v>
                </c:pt>
                <c:pt idx="30" formatCode="0.00">
                  <c:v>64.724330965487198</c:v>
                </c:pt>
                <c:pt idx="31" formatCode="0.00">
                  <c:v>65.608285877191605</c:v>
                </c:pt>
                <c:pt idx="32" formatCode="0.00">
                  <c:v>67.518489651325694</c:v>
                </c:pt>
                <c:pt idx="33" formatCode="0.00">
                  <c:v>70.782451544340205</c:v>
                </c:pt>
                <c:pt idx="34" formatCode="0.00">
                  <c:v>75.773895916172506</c:v>
                </c:pt>
                <c:pt idx="35" formatCode="0.00">
                  <c:v>82.8953226113168</c:v>
                </c:pt>
                <c:pt idx="36" formatCode="0.00">
                  <c:v>92.508492515105303</c:v>
                </c:pt>
                <c:pt idx="37" formatCode="0.00">
                  <c:v>104.921313286757</c:v>
                </c:pt>
                <c:pt idx="38" formatCode="0.00">
                  <c:v>120.25910766034001</c:v>
                </c:pt>
                <c:pt idx="39" formatCode="0.00">
                  <c:v>138.53758523705599</c:v>
                </c:pt>
                <c:pt idx="40" formatCode="0.00">
                  <c:v>159.65896454150101</c:v>
                </c:pt>
                <c:pt idx="41" formatCode="0.00">
                  <c:v>183.37228824590099</c:v>
                </c:pt>
                <c:pt idx="42" formatCode="0.00">
                  <c:v>209.263509377069</c:v>
                </c:pt>
                <c:pt idx="43" formatCode="0.00">
                  <c:v>236.41525807935699</c:v>
                </c:pt>
                <c:pt idx="44" formatCode="0.00">
                  <c:v>263.13662940334598</c:v>
                </c:pt>
                <c:pt idx="45" formatCode="0.00">
                  <c:v>287.23376581882502</c:v>
                </c:pt>
                <c:pt idx="46" formatCode="0.00">
                  <c:v>306.215943501548</c:v>
                </c:pt>
                <c:pt idx="47" formatCode="0.00">
                  <c:v>318.359400969082</c:v>
                </c:pt>
                <c:pt idx="48" formatCode="0.00">
                  <c:v>323.10001730397698</c:v>
                </c:pt>
                <c:pt idx="49" formatCode="0.00">
                  <c:v>321.04977757909398</c:v>
                </c:pt>
                <c:pt idx="50" formatCode="0.00">
                  <c:v>314.03116669425299</c:v>
                </c:pt>
                <c:pt idx="51" formatCode="0.00">
                  <c:v>304.315371773484</c:v>
                </c:pt>
                <c:pt idx="52" formatCode="0.00">
                  <c:v>294.31476827387303</c:v>
                </c:pt>
                <c:pt idx="53" formatCode="0.00">
                  <c:v>285.994077934774</c:v>
                </c:pt>
                <c:pt idx="54" formatCode="0.00">
                  <c:v>280.3992748128</c:v>
                </c:pt>
                <c:pt idx="55" formatCode="0.00">
                  <c:v>277.76059218521601</c:v>
                </c:pt>
                <c:pt idx="56" formatCode="0.00">
                  <c:v>277.80987058116199</c:v>
                </c:pt>
                <c:pt idx="57" formatCode="0.00">
                  <c:v>280.17874460792302</c:v>
                </c:pt>
                <c:pt idx="58" formatCode="0.00">
                  <c:v>284.77925016697299</c:v>
                </c:pt>
                <c:pt idx="59" formatCode="0.00">
                  <c:v>291.96693571370702</c:v>
                </c:pt>
                <c:pt idx="60" formatCode="0.00">
                  <c:v>302.67395720185101</c:v>
                </c:pt>
                <c:pt idx="61" formatCode="0.00">
                  <c:v>318.385901227994</c:v>
                </c:pt>
                <c:pt idx="62" formatCode="0.00">
                  <c:v>341.01891481670498</c:v>
                </c:pt>
                <c:pt idx="63" formatCode="0.00">
                  <c:v>372.79098598027599</c:v>
                </c:pt>
                <c:pt idx="64" formatCode="0.00">
                  <c:v>416.00201358282698</c:v>
                </c:pt>
                <c:pt idx="65" formatCode="0.00">
                  <c:v>472.78228662868003</c:v>
                </c:pt>
                <c:pt idx="66" formatCode="0.00">
                  <c:v>544.67887398632604</c:v>
                </c:pt>
                <c:pt idx="67" formatCode="0.00">
                  <c:v>632.19682165796905</c:v>
                </c:pt>
                <c:pt idx="68" formatCode="0.00">
                  <c:v>734.06318690595003</c:v>
                </c:pt>
                <c:pt idx="69" formatCode="0.00">
                  <c:v>846.31915877603205</c:v>
                </c:pt>
                <c:pt idx="70">
                  <c:v>961.25029444491804</c:v>
                </c:pt>
                <c:pt idx="71">
                  <c:v>1067.14635950154</c:v>
                </c:pt>
                <c:pt idx="72">
                  <c:v>1149.48841659042</c:v>
                </c:pt>
                <c:pt idx="73">
                  <c:v>1196.90016476101</c:v>
                </c:pt>
                <c:pt idx="74">
                  <c:v>1203.91941889689</c:v>
                </c:pt>
                <c:pt idx="75">
                  <c:v>1172.2671922340401</c:v>
                </c:pt>
                <c:pt idx="76">
                  <c:v>1110.9010038194399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E9-42B1-B605-BE773E02E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695808"/>
        <c:axId val="96697344"/>
      </c:lineChart>
      <c:catAx>
        <c:axId val="9669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697344"/>
        <c:crosses val="autoZero"/>
        <c:auto val="1"/>
        <c:lblAlgn val="ctr"/>
        <c:lblOffset val="100"/>
        <c:noMultiLvlLbl val="0"/>
      </c:catAx>
      <c:valAx>
        <c:axId val="9669734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669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611170766919458"/>
          <c:y val="0.24810736932926619"/>
          <c:w val="0.20234646897674424"/>
          <c:h val="0.4304088041216088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'Ingreso estructural no oil'!$AV$3:$AV$10</c:f>
              <c:strCache>
                <c:ptCount val="8"/>
                <c:pt idx="0">
                  <c:v>341.50</c:v>
                </c:pt>
                <c:pt idx="1">
                  <c:v>312.30</c:v>
                </c:pt>
                <c:pt idx="2">
                  <c:v>362.50</c:v>
                </c:pt>
                <c:pt idx="3">
                  <c:v>335.20</c:v>
                </c:pt>
                <c:pt idx="4">
                  <c:v>231.40</c:v>
                </c:pt>
                <c:pt idx="5">
                  <c:v>223.70</c:v>
                </c:pt>
                <c:pt idx="6">
                  <c:v>176.60</c:v>
                </c:pt>
                <c:pt idx="7">
                  <c:v>206.70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'Ingreso estructural no oil'!$AU$11:$AU$79</c:f>
              <c:strCache>
                <c:ptCount val="69"/>
                <c:pt idx="0">
                  <c:v>2000Q4</c:v>
                </c:pt>
                <c:pt idx="1">
                  <c:v>2001Q1</c:v>
                </c:pt>
                <c:pt idx="2">
                  <c:v>2001Q2</c:v>
                </c:pt>
                <c:pt idx="3">
                  <c:v>2001Q3</c:v>
                </c:pt>
                <c:pt idx="4">
                  <c:v>2001Q4</c:v>
                </c:pt>
                <c:pt idx="5">
                  <c:v>2002Q1</c:v>
                </c:pt>
                <c:pt idx="6">
                  <c:v>2002Q2</c:v>
                </c:pt>
                <c:pt idx="7">
                  <c:v>2002Q3</c:v>
                </c:pt>
                <c:pt idx="8">
                  <c:v>2002Q4</c:v>
                </c:pt>
                <c:pt idx="9">
                  <c:v>2003Q1</c:v>
                </c:pt>
                <c:pt idx="10">
                  <c:v>2003Q2</c:v>
                </c:pt>
                <c:pt idx="11">
                  <c:v>2003Q3</c:v>
                </c:pt>
                <c:pt idx="12">
                  <c:v>2003Q4</c:v>
                </c:pt>
                <c:pt idx="13">
                  <c:v>2004Q1</c:v>
                </c:pt>
                <c:pt idx="14">
                  <c:v>2004Q2</c:v>
                </c:pt>
                <c:pt idx="15">
                  <c:v>2004Q3</c:v>
                </c:pt>
                <c:pt idx="16">
                  <c:v>2004Q4</c:v>
                </c:pt>
                <c:pt idx="17">
                  <c:v>2005Q1</c:v>
                </c:pt>
                <c:pt idx="18">
                  <c:v>2005Q2</c:v>
                </c:pt>
                <c:pt idx="19">
                  <c:v>2005Q3</c:v>
                </c:pt>
                <c:pt idx="20">
                  <c:v>2005Q4</c:v>
                </c:pt>
                <c:pt idx="21">
                  <c:v>2006Q1</c:v>
                </c:pt>
                <c:pt idx="22">
                  <c:v>2006Q2</c:v>
                </c:pt>
                <c:pt idx="23">
                  <c:v>2006Q3</c:v>
                </c:pt>
                <c:pt idx="24">
                  <c:v>2006Q4</c:v>
                </c:pt>
                <c:pt idx="25">
                  <c:v>2007Q1</c:v>
                </c:pt>
                <c:pt idx="26">
                  <c:v>2007Q2</c:v>
                </c:pt>
                <c:pt idx="27">
                  <c:v>2007Q3</c:v>
                </c:pt>
                <c:pt idx="28">
                  <c:v>2007Q4</c:v>
                </c:pt>
                <c:pt idx="29">
                  <c:v>2008Q1</c:v>
                </c:pt>
                <c:pt idx="30">
                  <c:v>2008Q2</c:v>
                </c:pt>
                <c:pt idx="31">
                  <c:v>2008Q3</c:v>
                </c:pt>
                <c:pt idx="32">
                  <c:v>2008Q4</c:v>
                </c:pt>
                <c:pt idx="33">
                  <c:v>2009Q1</c:v>
                </c:pt>
                <c:pt idx="34">
                  <c:v>2009Q2</c:v>
                </c:pt>
                <c:pt idx="35">
                  <c:v>2009Q3</c:v>
                </c:pt>
                <c:pt idx="36">
                  <c:v>2009Q4</c:v>
                </c:pt>
                <c:pt idx="37">
                  <c:v>2010Q1</c:v>
                </c:pt>
                <c:pt idx="38">
                  <c:v>2010Q2</c:v>
                </c:pt>
                <c:pt idx="39">
                  <c:v>2010Q3</c:v>
                </c:pt>
                <c:pt idx="40">
                  <c:v>2010Q4</c:v>
                </c:pt>
                <c:pt idx="41">
                  <c:v>2011Q1</c:v>
                </c:pt>
                <c:pt idx="42">
                  <c:v>2011Q2</c:v>
                </c:pt>
                <c:pt idx="43">
                  <c:v>2011Q3</c:v>
                </c:pt>
                <c:pt idx="44">
                  <c:v>2011Q4</c:v>
                </c:pt>
                <c:pt idx="45">
                  <c:v>2012Q1</c:v>
                </c:pt>
                <c:pt idx="46">
                  <c:v>2012Q2</c:v>
                </c:pt>
                <c:pt idx="47">
                  <c:v>2012 Q3</c:v>
                </c:pt>
                <c:pt idx="48">
                  <c:v>2012 Q4</c:v>
                </c:pt>
                <c:pt idx="49">
                  <c:v>2013 Q1</c:v>
                </c:pt>
                <c:pt idx="50">
                  <c:v>2013 Q2</c:v>
                </c:pt>
                <c:pt idx="51">
                  <c:v>2013 Q3</c:v>
                </c:pt>
                <c:pt idx="52">
                  <c:v>2013 Q4</c:v>
                </c:pt>
                <c:pt idx="53">
                  <c:v>2014 Q1</c:v>
                </c:pt>
                <c:pt idx="54">
                  <c:v>2014 Q2</c:v>
                </c:pt>
                <c:pt idx="55">
                  <c:v>2014 Q3</c:v>
                </c:pt>
                <c:pt idx="56">
                  <c:v>2014 Q4</c:v>
                </c:pt>
                <c:pt idx="57">
                  <c:v>2015Q1</c:v>
                </c:pt>
                <c:pt idx="58">
                  <c:v>2015Q2</c:v>
                </c:pt>
                <c:pt idx="59">
                  <c:v>2015Q3</c:v>
                </c:pt>
                <c:pt idx="60">
                  <c:v>2015Q4</c:v>
                </c:pt>
                <c:pt idx="61">
                  <c:v>2016Q1</c:v>
                </c:pt>
                <c:pt idx="62">
                  <c:v>2016Q2</c:v>
                </c:pt>
                <c:pt idx="63">
                  <c:v>2016Q3</c:v>
                </c:pt>
                <c:pt idx="64">
                  <c:v>2016Q4</c:v>
                </c:pt>
                <c:pt idx="65">
                  <c:v>2017Q1</c:v>
                </c:pt>
                <c:pt idx="66">
                  <c:v>2017Q2</c:v>
                </c:pt>
                <c:pt idx="67">
                  <c:v>2017Q3</c:v>
                </c:pt>
                <c:pt idx="68">
                  <c:v>2017Q4</c:v>
                </c:pt>
              </c:strCache>
            </c:strRef>
          </c:cat>
          <c:val>
            <c:numRef>
              <c:f>'Ingreso estructural no oil'!$AV$11:$AV$79</c:f>
              <c:numCache>
                <c:formatCode>#,##0.00</c:formatCode>
                <c:ptCount val="69"/>
                <c:pt idx="0">
                  <c:v>230.89999999999998</c:v>
                </c:pt>
                <c:pt idx="1">
                  <c:v>228.10000000000002</c:v>
                </c:pt>
                <c:pt idx="2">
                  <c:v>228.10000000000002</c:v>
                </c:pt>
                <c:pt idx="3">
                  <c:v>218.39999999999998</c:v>
                </c:pt>
                <c:pt idx="4">
                  <c:v>185.2</c:v>
                </c:pt>
                <c:pt idx="5">
                  <c:v>203.1</c:v>
                </c:pt>
                <c:pt idx="6">
                  <c:v>284.10000000000002</c:v>
                </c:pt>
                <c:pt idx="7">
                  <c:v>377.8</c:v>
                </c:pt>
                <c:pt idx="8">
                  <c:v>428.90000000000003</c:v>
                </c:pt>
                <c:pt idx="9">
                  <c:v>481.70000000000005</c:v>
                </c:pt>
                <c:pt idx="10">
                  <c:v>429.79999999999995</c:v>
                </c:pt>
                <c:pt idx="11">
                  <c:v>397</c:v>
                </c:pt>
                <c:pt idx="12">
                  <c:v>419.29999999999995</c:v>
                </c:pt>
                <c:pt idx="13">
                  <c:v>420.09999999999997</c:v>
                </c:pt>
                <c:pt idx="14">
                  <c:v>420.6</c:v>
                </c:pt>
                <c:pt idx="15">
                  <c:v>442.3</c:v>
                </c:pt>
                <c:pt idx="16">
                  <c:v>454.59999999999997</c:v>
                </c:pt>
                <c:pt idx="17">
                  <c:v>455.2</c:v>
                </c:pt>
                <c:pt idx="18">
                  <c:v>487.86409497</c:v>
                </c:pt>
                <c:pt idx="19">
                  <c:v>519.69866677000005</c:v>
                </c:pt>
                <c:pt idx="20">
                  <c:v>540.08946190999995</c:v>
                </c:pt>
                <c:pt idx="21">
                  <c:v>743.32369708555552</c:v>
                </c:pt>
                <c:pt idx="22">
                  <c:v>732.49247098888884</c:v>
                </c:pt>
                <c:pt idx="23">
                  <c:v>768.10846156222215</c:v>
                </c:pt>
                <c:pt idx="24">
                  <c:v>876.3853565188889</c:v>
                </c:pt>
                <c:pt idx="25">
                  <c:v>932.47042519323327</c:v>
                </c:pt>
                <c:pt idx="26">
                  <c:v>1016.6309533607333</c:v>
                </c:pt>
                <c:pt idx="27">
                  <c:v>1401.6866960943444</c:v>
                </c:pt>
                <c:pt idx="28">
                  <c:v>1721.9787423448445</c:v>
                </c:pt>
                <c:pt idx="29">
                  <c:v>1976.4786157517738</c:v>
                </c:pt>
                <c:pt idx="30">
                  <c:v>2267.6146630512521</c:v>
                </c:pt>
                <c:pt idx="31">
                  <c:v>1957.7803060387721</c:v>
                </c:pt>
                <c:pt idx="32">
                  <c:v>2237.590523375361</c:v>
                </c:pt>
                <c:pt idx="33">
                  <c:v>2587.4693073329122</c:v>
                </c:pt>
                <c:pt idx="34">
                  <c:v>2358.7773882110073</c:v>
                </c:pt>
                <c:pt idx="35">
                  <c:v>2422.5153139113781</c:v>
                </c:pt>
                <c:pt idx="36">
                  <c:v>2042.3195623925774</c:v>
                </c:pt>
                <c:pt idx="37">
                  <c:v>2028.0548574789614</c:v>
                </c:pt>
                <c:pt idx="38">
                  <c:v>2258.7206280456153</c:v>
                </c:pt>
                <c:pt idx="39">
                  <c:v>2320.3326899211356</c:v>
                </c:pt>
                <c:pt idx="40">
                  <c:v>2194.8643289564361</c:v>
                </c:pt>
                <c:pt idx="41">
                  <c:v>1870.9335011421167</c:v>
                </c:pt>
                <c:pt idx="42">
                  <c:v>1635.8412211751472</c:v>
                </c:pt>
                <c:pt idx="43">
                  <c:v>1636.4270137395281</c:v>
                </c:pt>
                <c:pt idx="44">
                  <c:v>1584.4472983254948</c:v>
                </c:pt>
                <c:pt idx="45">
                  <c:v>1461.7466019265498</c:v>
                </c:pt>
                <c:pt idx="46">
                  <c:v>1430.0388296014999</c:v>
                </c:pt>
                <c:pt idx="47">
                  <c:v>1323.6023325234978</c:v>
                </c:pt>
                <c:pt idx="48">
                  <c:v>1300.8304579414357</c:v>
                </c:pt>
                <c:pt idx="49">
                  <c:v>1182.5895161154717</c:v>
                </c:pt>
                <c:pt idx="50">
                  <c:v>1436.72008789243</c:v>
                </c:pt>
                <c:pt idx="51">
                  <c:v>1667.5835464456959</c:v>
                </c:pt>
                <c:pt idx="52">
                  <c:v>1894.7012556518657</c:v>
                </c:pt>
                <c:pt idx="53">
                  <c:v>2055.6341231903289</c:v>
                </c:pt>
                <c:pt idx="54">
                  <c:v>2048.0660729603292</c:v>
                </c:pt>
                <c:pt idx="55">
                  <c:v>2120.7188785263288</c:v>
                </c:pt>
                <c:pt idx="56">
                  <c:v>2144.4361367659994</c:v>
                </c:pt>
                <c:pt idx="57">
                  <c:v>2155.7652775081579</c:v>
                </c:pt>
                <c:pt idx="58">
                  <c:v>2415.1912971724355</c:v>
                </c:pt>
                <c:pt idx="59">
                  <c:v>2501.6918990121808</c:v>
                </c:pt>
                <c:pt idx="60">
                  <c:v>2492.3010532392054</c:v>
                </c:pt>
                <c:pt idx="61">
                  <c:v>2389.4915916964328</c:v>
                </c:pt>
                <c:pt idx="62">
                  <c:v>2341.6378000183468</c:v>
                </c:pt>
                <c:pt idx="63">
                  <c:v>2363.4814577920852</c:v>
                </c:pt>
                <c:pt idx="64">
                  <c:v>2624.4578552435423</c:v>
                </c:pt>
                <c:pt idx="65">
                  <c:v>2497.480272173038</c:v>
                </c:pt>
                <c:pt idx="66">
                  <c:v>2493.3771198717136</c:v>
                </c:pt>
                <c:pt idx="67">
                  <c:v>2549.92643293214</c:v>
                </c:pt>
                <c:pt idx="68">
                  <c:v>2415.6630424218201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F4-4AA8-816A-8B9A63DF8EF2}"/>
            </c:ext>
          </c:extLst>
        </c:ser>
        <c:ser>
          <c:idx val="1"/>
          <c:order val="1"/>
          <c:tx>
            <c:strRef>
              <c:f>'Ingreso estructural no oil'!$AY$3:$AY$10</c:f>
              <c:strCache>
                <c:ptCount val="8"/>
                <c:pt idx="0">
                  <c:v>341.50</c:v>
                </c:pt>
                <c:pt idx="1">
                  <c:v>307.00</c:v>
                </c:pt>
                <c:pt idx="2">
                  <c:v>366.60</c:v>
                </c:pt>
                <c:pt idx="3">
                  <c:v>336.34</c:v>
                </c:pt>
                <c:pt idx="4">
                  <c:v>242.42</c:v>
                </c:pt>
                <c:pt idx="5">
                  <c:v>226.57</c:v>
                </c:pt>
                <c:pt idx="6">
                  <c:v>207.22</c:v>
                </c:pt>
                <c:pt idx="7">
                  <c:v>250.24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'Ingreso estructural no oil'!$AU$11:$AU$79</c:f>
              <c:strCache>
                <c:ptCount val="69"/>
                <c:pt idx="0">
                  <c:v>2000Q4</c:v>
                </c:pt>
                <c:pt idx="1">
                  <c:v>2001Q1</c:v>
                </c:pt>
                <c:pt idx="2">
                  <c:v>2001Q2</c:v>
                </c:pt>
                <c:pt idx="3">
                  <c:v>2001Q3</c:v>
                </c:pt>
                <c:pt idx="4">
                  <c:v>2001Q4</c:v>
                </c:pt>
                <c:pt idx="5">
                  <c:v>2002Q1</c:v>
                </c:pt>
                <c:pt idx="6">
                  <c:v>2002Q2</c:v>
                </c:pt>
                <c:pt idx="7">
                  <c:v>2002Q3</c:v>
                </c:pt>
                <c:pt idx="8">
                  <c:v>2002Q4</c:v>
                </c:pt>
                <c:pt idx="9">
                  <c:v>2003Q1</c:v>
                </c:pt>
                <c:pt idx="10">
                  <c:v>2003Q2</c:v>
                </c:pt>
                <c:pt idx="11">
                  <c:v>2003Q3</c:v>
                </c:pt>
                <c:pt idx="12">
                  <c:v>2003Q4</c:v>
                </c:pt>
                <c:pt idx="13">
                  <c:v>2004Q1</c:v>
                </c:pt>
                <c:pt idx="14">
                  <c:v>2004Q2</c:v>
                </c:pt>
                <c:pt idx="15">
                  <c:v>2004Q3</c:v>
                </c:pt>
                <c:pt idx="16">
                  <c:v>2004Q4</c:v>
                </c:pt>
                <c:pt idx="17">
                  <c:v>2005Q1</c:v>
                </c:pt>
                <c:pt idx="18">
                  <c:v>2005Q2</c:v>
                </c:pt>
                <c:pt idx="19">
                  <c:v>2005Q3</c:v>
                </c:pt>
                <c:pt idx="20">
                  <c:v>2005Q4</c:v>
                </c:pt>
                <c:pt idx="21">
                  <c:v>2006Q1</c:v>
                </c:pt>
                <c:pt idx="22">
                  <c:v>2006Q2</c:v>
                </c:pt>
                <c:pt idx="23">
                  <c:v>2006Q3</c:v>
                </c:pt>
                <c:pt idx="24">
                  <c:v>2006Q4</c:v>
                </c:pt>
                <c:pt idx="25">
                  <c:v>2007Q1</c:v>
                </c:pt>
                <c:pt idx="26">
                  <c:v>2007Q2</c:v>
                </c:pt>
                <c:pt idx="27">
                  <c:v>2007Q3</c:v>
                </c:pt>
                <c:pt idx="28">
                  <c:v>2007Q4</c:v>
                </c:pt>
                <c:pt idx="29">
                  <c:v>2008Q1</c:v>
                </c:pt>
                <c:pt idx="30">
                  <c:v>2008Q2</c:v>
                </c:pt>
                <c:pt idx="31">
                  <c:v>2008Q3</c:v>
                </c:pt>
                <c:pt idx="32">
                  <c:v>2008Q4</c:v>
                </c:pt>
                <c:pt idx="33">
                  <c:v>2009Q1</c:v>
                </c:pt>
                <c:pt idx="34">
                  <c:v>2009Q2</c:v>
                </c:pt>
                <c:pt idx="35">
                  <c:v>2009Q3</c:v>
                </c:pt>
                <c:pt idx="36">
                  <c:v>2009Q4</c:v>
                </c:pt>
                <c:pt idx="37">
                  <c:v>2010Q1</c:v>
                </c:pt>
                <c:pt idx="38">
                  <c:v>2010Q2</c:v>
                </c:pt>
                <c:pt idx="39">
                  <c:v>2010Q3</c:v>
                </c:pt>
                <c:pt idx="40">
                  <c:v>2010Q4</c:v>
                </c:pt>
                <c:pt idx="41">
                  <c:v>2011Q1</c:v>
                </c:pt>
                <c:pt idx="42">
                  <c:v>2011Q2</c:v>
                </c:pt>
                <c:pt idx="43">
                  <c:v>2011Q3</c:v>
                </c:pt>
                <c:pt idx="44">
                  <c:v>2011Q4</c:v>
                </c:pt>
                <c:pt idx="45">
                  <c:v>2012Q1</c:v>
                </c:pt>
                <c:pt idx="46">
                  <c:v>2012Q2</c:v>
                </c:pt>
                <c:pt idx="47">
                  <c:v>2012 Q3</c:v>
                </c:pt>
                <c:pt idx="48">
                  <c:v>2012 Q4</c:v>
                </c:pt>
                <c:pt idx="49">
                  <c:v>2013 Q1</c:v>
                </c:pt>
                <c:pt idx="50">
                  <c:v>2013 Q2</c:v>
                </c:pt>
                <c:pt idx="51">
                  <c:v>2013 Q3</c:v>
                </c:pt>
                <c:pt idx="52">
                  <c:v>2013 Q4</c:v>
                </c:pt>
                <c:pt idx="53">
                  <c:v>2014 Q1</c:v>
                </c:pt>
                <c:pt idx="54">
                  <c:v>2014 Q2</c:v>
                </c:pt>
                <c:pt idx="55">
                  <c:v>2014 Q3</c:v>
                </c:pt>
                <c:pt idx="56">
                  <c:v>2014 Q4</c:v>
                </c:pt>
                <c:pt idx="57">
                  <c:v>2015Q1</c:v>
                </c:pt>
                <c:pt idx="58">
                  <c:v>2015Q2</c:v>
                </c:pt>
                <c:pt idx="59">
                  <c:v>2015Q3</c:v>
                </c:pt>
                <c:pt idx="60">
                  <c:v>2015Q4</c:v>
                </c:pt>
                <c:pt idx="61">
                  <c:v>2016Q1</c:v>
                </c:pt>
                <c:pt idx="62">
                  <c:v>2016Q2</c:v>
                </c:pt>
                <c:pt idx="63">
                  <c:v>2016Q3</c:v>
                </c:pt>
                <c:pt idx="64">
                  <c:v>2016Q4</c:v>
                </c:pt>
                <c:pt idx="65">
                  <c:v>2017Q1</c:v>
                </c:pt>
                <c:pt idx="66">
                  <c:v>2017Q2</c:v>
                </c:pt>
                <c:pt idx="67">
                  <c:v>2017Q3</c:v>
                </c:pt>
                <c:pt idx="68">
                  <c:v>2017Q4</c:v>
                </c:pt>
              </c:strCache>
            </c:strRef>
          </c:cat>
          <c:val>
            <c:numRef>
              <c:f>'Ingreso estructural no oil'!$AY$11:$AY$79</c:f>
              <c:numCache>
                <c:formatCode>0.00</c:formatCode>
                <c:ptCount val="69"/>
                <c:pt idx="0">
                  <c:v>257.41923040097896</c:v>
                </c:pt>
                <c:pt idx="1">
                  <c:v>228.11500017589253</c:v>
                </c:pt>
                <c:pt idx="2">
                  <c:v>228.10000000000002</c:v>
                </c:pt>
                <c:pt idx="3">
                  <c:v>219.38984452236318</c:v>
                </c:pt>
                <c:pt idx="4">
                  <c:v>187.07367159449632</c:v>
                </c:pt>
                <c:pt idx="5">
                  <c:v>200.92114413019596</c:v>
                </c:pt>
                <c:pt idx="6">
                  <c:v>271.07991701882975</c:v>
                </c:pt>
                <c:pt idx="7">
                  <c:v>359.20834669408396</c:v>
                </c:pt>
                <c:pt idx="8">
                  <c:v>420.73759159228052</c:v>
                </c:pt>
                <c:pt idx="9">
                  <c:v>476.2174887808111</c:v>
                </c:pt>
                <c:pt idx="10">
                  <c:v>419.92511941684421</c:v>
                </c:pt>
                <c:pt idx="11">
                  <c:v>381.64307131533081</c:v>
                </c:pt>
                <c:pt idx="12">
                  <c:v>431.54469622891702</c:v>
                </c:pt>
                <c:pt idx="13">
                  <c:v>420.50903106193476</c:v>
                </c:pt>
                <c:pt idx="14">
                  <c:v>420.65427575999286</c:v>
                </c:pt>
                <c:pt idx="15">
                  <c:v>440.14888973916794</c:v>
                </c:pt>
                <c:pt idx="16">
                  <c:v>452.15740769786822</c:v>
                </c:pt>
                <c:pt idx="17">
                  <c:v>455.05200418901563</c:v>
                </c:pt>
                <c:pt idx="18">
                  <c:v>480.09673712927957</c:v>
                </c:pt>
                <c:pt idx="19">
                  <c:v>514.69734419405495</c:v>
                </c:pt>
                <c:pt idx="20">
                  <c:v>537.4658742913773</c:v>
                </c:pt>
                <c:pt idx="21">
                  <c:v>721.31089613776771</c:v>
                </c:pt>
                <c:pt idx="22">
                  <c:v>733.19481915442623</c:v>
                </c:pt>
                <c:pt idx="23">
                  <c:v>761.7409354960414</c:v>
                </c:pt>
                <c:pt idx="24">
                  <c:v>853.84795301442477</c:v>
                </c:pt>
                <c:pt idx="25">
                  <c:v>931.42611888704232</c:v>
                </c:pt>
                <c:pt idx="26">
                  <c:v>1045.6203670389323</c:v>
                </c:pt>
                <c:pt idx="27">
                  <c:v>1669.1868091804533</c:v>
                </c:pt>
                <c:pt idx="28">
                  <c:v>1837.4639896771218</c:v>
                </c:pt>
                <c:pt idx="29">
                  <c:v>2015.6930300944377</c:v>
                </c:pt>
                <c:pt idx="30">
                  <c:v>2268.2048058107002</c:v>
                </c:pt>
                <c:pt idx="31">
                  <c:v>1993.9442556821523</c:v>
                </c:pt>
                <c:pt idx="32">
                  <c:v>2047.3700524196315</c:v>
                </c:pt>
                <c:pt idx="33">
                  <c:v>1825.2291021685344</c:v>
                </c:pt>
                <c:pt idx="34">
                  <c:v>1539.2346074241234</c:v>
                </c:pt>
                <c:pt idx="35">
                  <c:v>2483.0165585817722</c:v>
                </c:pt>
                <c:pt idx="36">
                  <c:v>1889.1190913038722</c:v>
                </c:pt>
                <c:pt idx="37">
                  <c:v>2020.3652653222218</c:v>
                </c:pt>
                <c:pt idx="38">
                  <c:v>2485.6904318360212</c:v>
                </c:pt>
                <c:pt idx="39">
                  <c:v>2369.9095057247396</c:v>
                </c:pt>
                <c:pt idx="40">
                  <c:v>2146.5726102928229</c:v>
                </c:pt>
                <c:pt idx="41">
                  <c:v>1799.9806923516715</c:v>
                </c:pt>
                <c:pt idx="42">
                  <c:v>1627.7500991291524</c:v>
                </c:pt>
                <c:pt idx="43">
                  <c:v>1636.3544282705609</c:v>
                </c:pt>
                <c:pt idx="44">
                  <c:v>1591.2333718142468</c:v>
                </c:pt>
                <c:pt idx="45">
                  <c:v>1479.5192959328156</c:v>
                </c:pt>
                <c:pt idx="46">
                  <c:v>1435.5955030934476</c:v>
                </c:pt>
                <c:pt idx="47">
                  <c:v>1334.4214336182845</c:v>
                </c:pt>
                <c:pt idx="48">
                  <c:v>1301.5315863178375</c:v>
                </c:pt>
                <c:pt idx="49">
                  <c:v>1166.8086894465073</c:v>
                </c:pt>
                <c:pt idx="50">
                  <c:v>1502.4104324209532</c:v>
                </c:pt>
                <c:pt idx="51">
                  <c:v>1678.6784759758655</c:v>
                </c:pt>
                <c:pt idx="52">
                  <c:v>1880.034193814048</c:v>
                </c:pt>
                <c:pt idx="53">
                  <c:v>2043.6557444735097</c:v>
                </c:pt>
                <c:pt idx="54">
                  <c:v>2049.1977235161858</c:v>
                </c:pt>
                <c:pt idx="55">
                  <c:v>2098.1550150870371</c:v>
                </c:pt>
                <c:pt idx="56">
                  <c:v>2122.8722479770017</c:v>
                </c:pt>
                <c:pt idx="57">
                  <c:v>2138.1614327948819</c:v>
                </c:pt>
                <c:pt idx="58">
                  <c:v>2272.7327044694598</c:v>
                </c:pt>
                <c:pt idx="59">
                  <c:v>2568.3411450104636</c:v>
                </c:pt>
                <c:pt idx="60">
                  <c:v>2490.875119049093</c:v>
                </c:pt>
                <c:pt idx="61">
                  <c:v>2948.4201035660835</c:v>
                </c:pt>
                <c:pt idx="62">
                  <c:v>2653.5319316245309</c:v>
                </c:pt>
                <c:pt idx="63">
                  <c:v>2307.2435761206293</c:v>
                </c:pt>
                <c:pt idx="64">
                  <c:v>2490.3725205186101</c:v>
                </c:pt>
                <c:pt idx="65">
                  <c:v>2401.2829550146216</c:v>
                </c:pt>
                <c:pt idx="66">
                  <c:v>2491.1303265838333</c:v>
                </c:pt>
                <c:pt idx="67">
                  <c:v>2556.8887808141612</c:v>
                </c:pt>
                <c:pt idx="68">
                  <c:v>2443.7834955154271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F4-4AA8-816A-8B9A63DF8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728192"/>
        <c:axId val="96729728"/>
      </c:lineChart>
      <c:catAx>
        <c:axId val="9672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6729728"/>
        <c:crosses val="autoZero"/>
        <c:auto val="1"/>
        <c:lblAlgn val="ctr"/>
        <c:lblOffset val="100"/>
        <c:noMultiLvlLbl val="0"/>
      </c:catAx>
      <c:valAx>
        <c:axId val="9672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672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'Ingreso estructural no oil'!$BA$3:$BA$79</c:f>
              <c:strCache>
                <c:ptCount val="77"/>
                <c:pt idx="0">
                  <c:v>1998Q4</c:v>
                </c:pt>
                <c:pt idx="1">
                  <c:v>1999Q1</c:v>
                </c:pt>
                <c:pt idx="2">
                  <c:v>1999Q2</c:v>
                </c:pt>
                <c:pt idx="3">
                  <c:v>1999Q3</c:v>
                </c:pt>
                <c:pt idx="4">
                  <c:v>1999Q4</c:v>
                </c:pt>
                <c:pt idx="5">
                  <c:v>200Q1</c:v>
                </c:pt>
                <c:pt idx="6">
                  <c:v>200Q2</c:v>
                </c:pt>
                <c:pt idx="7">
                  <c:v>2000Q3</c:v>
                </c:pt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oil'!$BB$3:$BB$79</c:f>
              <c:numCache>
                <c:formatCode>0.00</c:formatCode>
                <c:ptCount val="77"/>
                <c:pt idx="0">
                  <c:v>2332.6999999999998</c:v>
                </c:pt>
                <c:pt idx="1">
                  <c:v>2268.3000000000002</c:v>
                </c:pt>
                <c:pt idx="2">
                  <c:v>2155.5</c:v>
                </c:pt>
                <c:pt idx="3">
                  <c:v>1980.6000000000001</c:v>
                </c:pt>
                <c:pt idx="4">
                  <c:v>1744</c:v>
                </c:pt>
                <c:pt idx="5">
                  <c:v>1658.2</c:v>
                </c:pt>
                <c:pt idx="6">
                  <c:v>1653</c:v>
                </c:pt>
                <c:pt idx="7">
                  <c:v>1768.2</c:v>
                </c:pt>
                <c:pt idx="8">
                  <c:v>1940.9</c:v>
                </c:pt>
                <c:pt idx="9">
                  <c:v>2101.8000000000002</c:v>
                </c:pt>
                <c:pt idx="10">
                  <c:v>2359.4</c:v>
                </c:pt>
                <c:pt idx="11">
                  <c:v>2500.6999999999998</c:v>
                </c:pt>
                <c:pt idx="12">
                  <c:v>2548.0999999999995</c:v>
                </c:pt>
                <c:pt idx="13">
                  <c:v>2717.5</c:v>
                </c:pt>
                <c:pt idx="14">
                  <c:v>2887.7</c:v>
                </c:pt>
                <c:pt idx="15">
                  <c:v>3049.8</c:v>
                </c:pt>
                <c:pt idx="16">
                  <c:v>3177.4</c:v>
                </c:pt>
                <c:pt idx="17">
                  <c:v>3248</c:v>
                </c:pt>
                <c:pt idx="18">
                  <c:v>3190</c:v>
                </c:pt>
                <c:pt idx="19">
                  <c:v>3156.3209241206423</c:v>
                </c:pt>
                <c:pt idx="20">
                  <c:v>3208.8726820809443</c:v>
                </c:pt>
                <c:pt idx="21">
                  <c:v>3270.0761683379997</c:v>
                </c:pt>
                <c:pt idx="22">
                  <c:v>3361.0148635122996</c:v>
                </c:pt>
                <c:pt idx="23">
                  <c:v>3488.6363176094601</c:v>
                </c:pt>
                <c:pt idx="24">
                  <c:v>3620.0756974992482</c:v>
                </c:pt>
                <c:pt idx="25">
                  <c:v>3717.1854667400667</c:v>
                </c:pt>
                <c:pt idx="26">
                  <c:v>3980.5111989489942</c:v>
                </c:pt>
                <c:pt idx="27">
                  <c:v>4184.5108297907645</c:v>
                </c:pt>
                <c:pt idx="28">
                  <c:v>4281.0710182080475</c:v>
                </c:pt>
                <c:pt idx="29">
                  <c:v>4582.6756847708857</c:v>
                </c:pt>
                <c:pt idx="30">
                  <c:v>4800.4635828791879</c:v>
                </c:pt>
                <c:pt idx="31">
                  <c:v>4957.4162368018569</c:v>
                </c:pt>
                <c:pt idx="32">
                  <c:v>5167.9786874556721</c:v>
                </c:pt>
                <c:pt idx="33">
                  <c:v>5308.0728698820676</c:v>
                </c:pt>
                <c:pt idx="34">
                  <c:v>5361.9936393237667</c:v>
                </c:pt>
                <c:pt idx="35">
                  <c:v>5914.4241111549691</c:v>
                </c:pt>
                <c:pt idx="36">
                  <c:v>6471.40327825642</c:v>
                </c:pt>
                <c:pt idx="37">
                  <c:v>7139.4826881491426</c:v>
                </c:pt>
                <c:pt idx="38">
                  <c:v>7902.9012924372264</c:v>
                </c:pt>
                <c:pt idx="39">
                  <c:v>8125.2255533806429</c:v>
                </c:pt>
                <c:pt idx="40">
                  <c:v>8807.3644529467092</c:v>
                </c:pt>
                <c:pt idx="41">
                  <c:v>9322.3038221512597</c:v>
                </c:pt>
                <c:pt idx="42">
                  <c:v>9420.4437452757975</c:v>
                </c:pt>
                <c:pt idx="43">
                  <c:v>9547.6341537328735</c:v>
                </c:pt>
                <c:pt idx="44">
                  <c:v>9299.0179616087171</c:v>
                </c:pt>
                <c:pt idx="45">
                  <c:v>9838.6750869627285</c:v>
                </c:pt>
                <c:pt idx="46">
                  <c:v>10385.560136779959</c:v>
                </c:pt>
                <c:pt idx="47">
                  <c:v>10766.802585942334</c:v>
                </c:pt>
                <c:pt idx="48">
                  <c:v>10988.65610890837</c:v>
                </c:pt>
                <c:pt idx="49">
                  <c:v>10747.117083078358</c:v>
                </c:pt>
                <c:pt idx="50">
                  <c:v>10798.079683565</c:v>
                </c:pt>
                <c:pt idx="51">
                  <c:v>10999.759275261174</c:v>
                </c:pt>
                <c:pt idx="52">
                  <c:v>11349.74718748456</c:v>
                </c:pt>
                <c:pt idx="53">
                  <c:v>11861.214628463686</c:v>
                </c:pt>
                <c:pt idx="54">
                  <c:v>12528.890119847005</c:v>
                </c:pt>
                <c:pt idx="55">
                  <c:v>13092.86709693125</c:v>
                </c:pt>
                <c:pt idx="56">
                  <c:v>13555.516252481437</c:v>
                </c:pt>
                <c:pt idx="57">
                  <c:v>13437.27531065547</c:v>
                </c:pt>
                <c:pt idx="58">
                  <c:v>14070.005450082428</c:v>
                </c:pt>
                <c:pt idx="59">
                  <c:v>14714.393809965695</c:v>
                </c:pt>
                <c:pt idx="60">
                  <c:v>15321.044438561867</c:v>
                </c:pt>
                <c:pt idx="61">
                  <c:v>15716.842233430329</c:v>
                </c:pt>
                <c:pt idx="62">
                  <c:v>15841.425478330329</c:v>
                </c:pt>
                <c:pt idx="63">
                  <c:v>16069.551225956329</c:v>
                </c:pt>
                <c:pt idx="64">
                  <c:v>16284.281896046892</c:v>
                </c:pt>
                <c:pt idx="65">
                  <c:v>16615.734751699049</c:v>
                </c:pt>
                <c:pt idx="66">
                  <c:v>17345.873507663327</c:v>
                </c:pt>
                <c:pt idx="67">
                  <c:v>17772.563245826939</c:v>
                </c:pt>
                <c:pt idx="68">
                  <c:v>18437.497669662182</c:v>
                </c:pt>
                <c:pt idx="69">
                  <c:v>18080.484656189208</c:v>
                </c:pt>
                <c:pt idx="70">
                  <c:v>17416.062706631634</c:v>
                </c:pt>
                <c:pt idx="71">
                  <c:v>16628.293654573547</c:v>
                </c:pt>
                <c:pt idx="72">
                  <c:v>16187.760958306284</c:v>
                </c:pt>
                <c:pt idx="73">
                  <c:v>16717.976840420139</c:v>
                </c:pt>
                <c:pt idx="74">
                  <c:v>16840.34227492967</c:v>
                </c:pt>
                <c:pt idx="75">
                  <c:v>17195.491494738351</c:v>
                </c:pt>
                <c:pt idx="76">
                  <c:v>16493.371919344703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28-4F57-9B74-93A1AEC7490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'Ingreso estructural no oil'!$BA$3:$BA$79</c:f>
              <c:strCache>
                <c:ptCount val="77"/>
                <c:pt idx="0">
                  <c:v>1998Q4</c:v>
                </c:pt>
                <c:pt idx="1">
                  <c:v>1999Q1</c:v>
                </c:pt>
                <c:pt idx="2">
                  <c:v>1999Q2</c:v>
                </c:pt>
                <c:pt idx="3">
                  <c:v>1999Q3</c:v>
                </c:pt>
                <c:pt idx="4">
                  <c:v>1999Q4</c:v>
                </c:pt>
                <c:pt idx="5">
                  <c:v>200Q1</c:v>
                </c:pt>
                <c:pt idx="6">
                  <c:v>200Q2</c:v>
                </c:pt>
                <c:pt idx="7">
                  <c:v>2000Q3</c:v>
                </c:pt>
                <c:pt idx="8">
                  <c:v>2000Q4</c:v>
                </c:pt>
                <c:pt idx="9">
                  <c:v>2001Q1</c:v>
                </c:pt>
                <c:pt idx="10">
                  <c:v>2001Q2</c:v>
                </c:pt>
                <c:pt idx="11">
                  <c:v>2001Q3</c:v>
                </c:pt>
                <c:pt idx="12">
                  <c:v>2001Q4</c:v>
                </c:pt>
                <c:pt idx="13">
                  <c:v>2002Q1</c:v>
                </c:pt>
                <c:pt idx="14">
                  <c:v>2002Q2</c:v>
                </c:pt>
                <c:pt idx="15">
                  <c:v>2002Q3</c:v>
                </c:pt>
                <c:pt idx="16">
                  <c:v>2002Q4</c:v>
                </c:pt>
                <c:pt idx="17">
                  <c:v>2003Q1</c:v>
                </c:pt>
                <c:pt idx="18">
                  <c:v>2003Q2</c:v>
                </c:pt>
                <c:pt idx="19">
                  <c:v>2003Q3</c:v>
                </c:pt>
                <c:pt idx="20">
                  <c:v>2003Q4</c:v>
                </c:pt>
                <c:pt idx="21">
                  <c:v>2004Q1</c:v>
                </c:pt>
                <c:pt idx="22">
                  <c:v>2004Q2</c:v>
                </c:pt>
                <c:pt idx="23">
                  <c:v>2004Q3</c:v>
                </c:pt>
                <c:pt idx="24">
                  <c:v>2004Q4</c:v>
                </c:pt>
                <c:pt idx="25">
                  <c:v>2005Q1</c:v>
                </c:pt>
                <c:pt idx="26">
                  <c:v>2005Q2</c:v>
                </c:pt>
                <c:pt idx="27">
                  <c:v>2005Q3</c:v>
                </c:pt>
                <c:pt idx="28">
                  <c:v>2005Q4</c:v>
                </c:pt>
                <c:pt idx="29">
                  <c:v>2006Q1</c:v>
                </c:pt>
                <c:pt idx="30">
                  <c:v>2006Q2</c:v>
                </c:pt>
                <c:pt idx="31">
                  <c:v>2006Q3</c:v>
                </c:pt>
                <c:pt idx="32">
                  <c:v>2006Q4</c:v>
                </c:pt>
                <c:pt idx="33">
                  <c:v>2007Q1</c:v>
                </c:pt>
                <c:pt idx="34">
                  <c:v>2007Q2</c:v>
                </c:pt>
                <c:pt idx="35">
                  <c:v>2007Q3</c:v>
                </c:pt>
                <c:pt idx="36">
                  <c:v>2007Q4</c:v>
                </c:pt>
                <c:pt idx="37">
                  <c:v>2008Q1</c:v>
                </c:pt>
                <c:pt idx="38">
                  <c:v>2008Q2</c:v>
                </c:pt>
                <c:pt idx="39">
                  <c:v>2008Q3</c:v>
                </c:pt>
                <c:pt idx="40">
                  <c:v>2008Q4</c:v>
                </c:pt>
                <c:pt idx="41">
                  <c:v>2009Q1</c:v>
                </c:pt>
                <c:pt idx="42">
                  <c:v>2009Q2</c:v>
                </c:pt>
                <c:pt idx="43">
                  <c:v>2009Q3</c:v>
                </c:pt>
                <c:pt idx="44">
                  <c:v>2009Q4</c:v>
                </c:pt>
                <c:pt idx="45">
                  <c:v>2010Q1</c:v>
                </c:pt>
                <c:pt idx="46">
                  <c:v>2010Q2</c:v>
                </c:pt>
                <c:pt idx="47">
                  <c:v>2010Q3</c:v>
                </c:pt>
                <c:pt idx="48">
                  <c:v>2010Q4</c:v>
                </c:pt>
                <c:pt idx="49">
                  <c:v>2011Q1</c:v>
                </c:pt>
                <c:pt idx="50">
                  <c:v>2011Q2</c:v>
                </c:pt>
                <c:pt idx="51">
                  <c:v>2011Q3</c:v>
                </c:pt>
                <c:pt idx="52">
                  <c:v>2011Q4</c:v>
                </c:pt>
                <c:pt idx="53">
                  <c:v>2012Q1</c:v>
                </c:pt>
                <c:pt idx="54">
                  <c:v>2012Q2</c:v>
                </c:pt>
                <c:pt idx="55">
                  <c:v>2012 Q3</c:v>
                </c:pt>
                <c:pt idx="56">
                  <c:v>2012 Q4</c:v>
                </c:pt>
                <c:pt idx="57">
                  <c:v>2013 Q1</c:v>
                </c:pt>
                <c:pt idx="58">
                  <c:v>2013 Q2</c:v>
                </c:pt>
                <c:pt idx="59">
                  <c:v>2013 Q3</c:v>
                </c:pt>
                <c:pt idx="60">
                  <c:v>2013 Q4</c:v>
                </c:pt>
                <c:pt idx="61">
                  <c:v>2014 Q1</c:v>
                </c:pt>
                <c:pt idx="62">
                  <c:v>2014 Q2</c:v>
                </c:pt>
                <c:pt idx="63">
                  <c:v>2014 Q3</c:v>
                </c:pt>
                <c:pt idx="64">
                  <c:v>2014 Q4</c:v>
                </c:pt>
                <c:pt idx="65">
                  <c:v>2015Q1</c:v>
                </c:pt>
                <c:pt idx="66">
                  <c:v>2015Q2</c:v>
                </c:pt>
                <c:pt idx="67">
                  <c:v>2015Q3</c:v>
                </c:pt>
                <c:pt idx="68">
                  <c:v>2015Q4</c:v>
                </c:pt>
                <c:pt idx="69">
                  <c:v>2016Q1</c:v>
                </c:pt>
                <c:pt idx="70">
                  <c:v>2016Q2</c:v>
                </c:pt>
                <c:pt idx="71">
                  <c:v>2016Q3</c:v>
                </c:pt>
                <c:pt idx="72">
                  <c:v>2016Q4</c:v>
                </c:pt>
                <c:pt idx="73">
                  <c:v>2017Q1</c:v>
                </c:pt>
                <c:pt idx="74">
                  <c:v>2017Q2</c:v>
                </c:pt>
                <c:pt idx="75">
                  <c:v>2017Q3</c:v>
                </c:pt>
                <c:pt idx="76">
                  <c:v>2017Q4</c:v>
                </c:pt>
              </c:strCache>
            </c:strRef>
          </c:cat>
          <c:val>
            <c:numRef>
              <c:f>'Ingreso estructural no oil'!$BE$3:$BE$79</c:f>
              <c:numCache>
                <c:formatCode>0.00</c:formatCode>
                <c:ptCount val="77"/>
                <c:pt idx="1">
                  <c:v>2255.791263868316</c:v>
                </c:pt>
                <c:pt idx="2">
                  <c:v>2148.0193400638095</c:v>
                </c:pt>
                <c:pt idx="3">
                  <c:v>1987.8439113978575</c:v>
                </c:pt>
                <c:pt idx="4">
                  <c:v>1775.5921529686623</c:v>
                </c:pt>
                <c:pt idx="5">
                  <c:v>1689.7229066193834</c:v>
                </c:pt>
                <c:pt idx="6">
                  <c:v>1656.9414527294816</c:v>
                </c:pt>
                <c:pt idx="7">
                  <c:v>1911.9535829395586</c:v>
                </c:pt>
                <c:pt idx="8">
                  <c:v>2125.167017097217</c:v>
                </c:pt>
                <c:pt idx="9">
                  <c:v>2100.8553534433636</c:v>
                </c:pt>
                <c:pt idx="10">
                  <c:v>2335.8690049615898</c:v>
                </c:pt>
                <c:pt idx="11">
                  <c:v>2484.8252960284726</c:v>
                </c:pt>
                <c:pt idx="12">
                  <c:v>2544.903755051726</c:v>
                </c:pt>
                <c:pt idx="13">
                  <c:v>2697.4135566390773</c:v>
                </c:pt>
                <c:pt idx="14">
                  <c:v>2866.5038088683732</c:v>
                </c:pt>
                <c:pt idx="15">
                  <c:v>3023.7181734894348</c:v>
                </c:pt>
                <c:pt idx="16">
                  <c:v>3158.5708712812375</c:v>
                </c:pt>
                <c:pt idx="17">
                  <c:v>3241.29639280231</c:v>
                </c:pt>
                <c:pt idx="18">
                  <c:v>3177.7346870952133</c:v>
                </c:pt>
                <c:pt idx="19">
                  <c:v>3139.1414103691072</c:v>
                </c:pt>
                <c:pt idx="20">
                  <c:v>3236.3678220645015</c:v>
                </c:pt>
                <c:pt idx="21">
                  <c:v>3302.0447185118346</c:v>
                </c:pt>
                <c:pt idx="22">
                  <c:v>3371.1634940167423</c:v>
                </c:pt>
                <c:pt idx="23">
                  <c:v>3476.1411082465784</c:v>
                </c:pt>
                <c:pt idx="24">
                  <c:v>3593.7484064489313</c:v>
                </c:pt>
                <c:pt idx="25">
                  <c:v>3692.6992828652483</c:v>
                </c:pt>
                <c:pt idx="26">
                  <c:v>3917.9408687559207</c:v>
                </c:pt>
                <c:pt idx="27">
                  <c:v>4152.8502900386848</c:v>
                </c:pt>
                <c:pt idx="28">
                  <c:v>4268.8280030496389</c:v>
                </c:pt>
                <c:pt idx="29">
                  <c:v>4556.9562899602051</c:v>
                </c:pt>
                <c:pt idx="30">
                  <c:v>4785.4818951177558</c:v>
                </c:pt>
                <c:pt idx="31">
                  <c:v>4929.7443587108792</c:v>
                </c:pt>
                <c:pt idx="32">
                  <c:v>5127.5692033184077</c:v>
                </c:pt>
                <c:pt idx="33">
                  <c:v>5305.5539335466829</c:v>
                </c:pt>
                <c:pt idx="34">
                  <c:v>5378.988433053788</c:v>
                </c:pt>
                <c:pt idx="35">
                  <c:v>6202.2005056368689</c:v>
                </c:pt>
                <c:pt idx="36">
                  <c:v>6646.8635518112342</c:v>
                </c:pt>
                <c:pt idx="37">
                  <c:v>7238.1334406672286</c:v>
                </c:pt>
                <c:pt idx="38">
                  <c:v>7904.3942622619415</c:v>
                </c:pt>
                <c:pt idx="39">
                  <c:v>8094.6630693475799</c:v>
                </c:pt>
                <c:pt idx="40">
                  <c:v>8359.5205376327613</c:v>
                </c:pt>
                <c:pt idx="41">
                  <c:v>8181.8870085963226</c:v>
                </c:pt>
                <c:pt idx="42">
                  <c:v>9911.791476721306</c:v>
                </c:pt>
                <c:pt idx="43">
                  <c:v>9666.0411077432782</c:v>
                </c:pt>
                <c:pt idx="44">
                  <c:v>9179.4864964605604</c:v>
                </c:pt>
                <c:pt idx="45">
                  <c:v>10154.174556464968</c:v>
                </c:pt>
                <c:pt idx="46">
                  <c:v>10883.107504316917</c:v>
                </c:pt>
                <c:pt idx="47">
                  <c:v>11077.5282233616</c:v>
                </c:pt>
                <c:pt idx="48">
                  <c:v>11082.211646424783</c:v>
                </c:pt>
                <c:pt idx="49">
                  <c:v>10685.412161762135</c:v>
                </c:pt>
                <c:pt idx="50">
                  <c:v>10800.100424382024</c:v>
                </c:pt>
                <c:pt idx="51">
                  <c:v>10974.340401859041</c:v>
                </c:pt>
                <c:pt idx="52">
                  <c:v>11301.262800486644</c:v>
                </c:pt>
                <c:pt idx="53">
                  <c:v>11778.091902057864</c:v>
                </c:pt>
                <c:pt idx="54">
                  <c:v>12403.432697866276</c:v>
                </c:pt>
                <c:pt idx="55">
                  <c:v>13028.563269019358</c:v>
                </c:pt>
                <c:pt idx="56">
                  <c:v>13540.522464906519</c:v>
                </c:pt>
                <c:pt idx="57">
                  <c:v>13419.963376871223</c:v>
                </c:pt>
                <c:pt idx="58">
                  <c:v>14208.519136856556</c:v>
                </c:pt>
                <c:pt idx="59">
                  <c:v>14742.230617771538</c:v>
                </c:pt>
                <c:pt idx="60">
                  <c:v>15285.044703333255</c:v>
                </c:pt>
                <c:pt idx="61">
                  <c:v>15688.930872513471</c:v>
                </c:pt>
                <c:pt idx="62">
                  <c:v>15822.595899686154</c:v>
                </c:pt>
                <c:pt idx="63">
                  <c:v>15999.923238847725</c:v>
                </c:pt>
                <c:pt idx="64">
                  <c:v>16088.818822724657</c:v>
                </c:pt>
                <c:pt idx="65">
                  <c:v>16099.041871573576</c:v>
                </c:pt>
                <c:pt idx="66">
                  <c:v>19736.791899785898</c:v>
                </c:pt>
                <c:pt idx="67">
                  <c:v>18096.42918329886</c:v>
                </c:pt>
                <c:pt idx="68">
                  <c:v>18542.966053486158</c:v>
                </c:pt>
                <c:pt idx="69">
                  <c:v>19955.3496488085</c:v>
                </c:pt>
                <c:pt idx="70">
                  <c:v>21907.656926688869</c:v>
                </c:pt>
                <c:pt idx="71">
                  <c:v>18687.927701501605</c:v>
                </c:pt>
                <c:pt idx="72">
                  <c:v>15593.133496942155</c:v>
                </c:pt>
                <c:pt idx="73">
                  <c:v>17168.494267204624</c:v>
                </c:pt>
                <c:pt idx="74">
                  <c:v>16908.114805641966</c:v>
                </c:pt>
                <c:pt idx="75">
                  <c:v>17239.145259672037</c:v>
                </c:pt>
                <c:pt idx="76">
                  <c:v>16642.067032197439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28-4F57-9B74-93A1AEC74901}"/>
            </c:ext>
          </c:extLst>
        </c:ser>
        <c:ser>
          <c:idx val="2"/>
          <c:order val="2"/>
          <c:tx>
            <c:v>hp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'Ingreso estructural no oil'!$BP$3:$BP$79</c:f>
              <c:numCache>
                <c:formatCode>General</c:formatCode>
                <c:ptCount val="77"/>
                <c:pt idx="0">
                  <c:v>1926.8318445310099</c:v>
                </c:pt>
                <c:pt idx="1">
                  <c:v>1867.06658067167</c:v>
                </c:pt>
                <c:pt idx="2">
                  <c:v>1811.1699983670201</c:v>
                </c:pt>
                <c:pt idx="3">
                  <c:v>1765.92711336503</c:v>
                </c:pt>
                <c:pt idx="4">
                  <c:v>1739.5882414299999</c:v>
                </c:pt>
                <c:pt idx="5">
                  <c:v>1739.8174271926</c:v>
                </c:pt>
                <c:pt idx="6">
                  <c:v>1770.94183286917</c:v>
                </c:pt>
                <c:pt idx="7">
                  <c:v>1833.61944640414</c:v>
                </c:pt>
                <c:pt idx="8">
                  <c:v>1925.0218374132401</c:v>
                </c:pt>
                <c:pt idx="9">
                  <c:v>2039.7853810481799</c:v>
                </c:pt>
                <c:pt idx="10">
                  <c:v>2171.06323408652</c:v>
                </c:pt>
                <c:pt idx="11">
                  <c:v>2311.21669949535</c:v>
                </c:pt>
                <c:pt idx="12">
                  <c:v>2453.4844479008698</c:v>
                </c:pt>
                <c:pt idx="13">
                  <c:v>2592.3779829343498</c:v>
                </c:pt>
                <c:pt idx="14">
                  <c:v>2723.2069637480399</c:v>
                </c:pt>
                <c:pt idx="15">
                  <c:v>2842.53226966487</c:v>
                </c:pt>
                <c:pt idx="16">
                  <c:v>2948.5597103702498</c:v>
                </c:pt>
                <c:pt idx="17">
                  <c:v>3041.5677728529799</c:v>
                </c:pt>
                <c:pt idx="18">
                  <c:v>3124.1233469981198</c:v>
                </c:pt>
                <c:pt idx="19">
                  <c:v>3200.8576449622201</c:v>
                </c:pt>
                <c:pt idx="20">
                  <c:v>3277.0606454318499</c:v>
                </c:pt>
                <c:pt idx="21">
                  <c:v>3357.5767506439502</c:v>
                </c:pt>
                <c:pt idx="22">
                  <c:v>3446.5687563811598</c:v>
                </c:pt>
                <c:pt idx="23">
                  <c:v>3547.32469091964</c:v>
                </c:pt>
                <c:pt idx="24">
                  <c:v>3662.2768949717702</c:v>
                </c:pt>
                <c:pt idx="25">
                  <c:v>3793.2704623407199</c:v>
                </c:pt>
                <c:pt idx="26">
                  <c:v>3941.7287178799502</c:v>
                </c:pt>
                <c:pt idx="27">
                  <c:v>4108.3142818195101</c:v>
                </c:pt>
                <c:pt idx="28">
                  <c:v>4294.0774872106504</c:v>
                </c:pt>
                <c:pt idx="29">
                  <c:v>4500.8305242864199</c:v>
                </c:pt>
                <c:pt idx="30">
                  <c:v>4730.25580840778</c:v>
                </c:pt>
                <c:pt idx="31">
                  <c:v>4984.8544496927898</c:v>
                </c:pt>
                <c:pt idx="32">
                  <c:v>5267.8300001754696</c:v>
                </c:pt>
                <c:pt idx="33">
                  <c:v>5582.1114673928996</c:v>
                </c:pt>
                <c:pt idx="34">
                  <c:v>5929.6295588803996</c:v>
                </c:pt>
                <c:pt idx="35">
                  <c:v>6309.5748674993702</c:v>
                </c:pt>
                <c:pt idx="36">
                  <c:v>6715.4616905224102</c:v>
                </c:pt>
                <c:pt idx="37">
                  <c:v>7136.8525765471204</c:v>
                </c:pt>
                <c:pt idx="38">
                  <c:v>7560.8694572658796</c:v>
                </c:pt>
                <c:pt idx="39">
                  <c:v>7974.6607386056003</c:v>
                </c:pt>
                <c:pt idx="40">
                  <c:v>8368.7951319205204</c:v>
                </c:pt>
                <c:pt idx="41">
                  <c:v>8735.3467411788406</c:v>
                </c:pt>
                <c:pt idx="42">
                  <c:v>9070.7757190295397</c:v>
                </c:pt>
                <c:pt idx="43">
                  <c:v>9377.4117507098108</c:v>
                </c:pt>
                <c:pt idx="44">
                  <c:v>9661.0807642665604</c:v>
                </c:pt>
                <c:pt idx="45">
                  <c:v>9929.3105702395806</c:v>
                </c:pt>
                <c:pt idx="46">
                  <c:v>10186.008171526</c:v>
                </c:pt>
                <c:pt idx="47">
                  <c:v>10434.174465320501</c:v>
                </c:pt>
                <c:pt idx="48">
                  <c:v>10678.8062671027</c:v>
                </c:pt>
                <c:pt idx="49">
                  <c:v>10928.226647698801</c:v>
                </c:pt>
                <c:pt idx="50">
                  <c:v>11193.857615264</c:v>
                </c:pt>
                <c:pt idx="51">
                  <c:v>11485.309911476699</c:v>
                </c:pt>
                <c:pt idx="52">
                  <c:v>11808.236701862401</c:v>
                </c:pt>
                <c:pt idx="53">
                  <c:v>12163.436052831999</c:v>
                </c:pt>
                <c:pt idx="54">
                  <c:v>12547.1206637777</c:v>
                </c:pt>
                <c:pt idx="55">
                  <c:v>12952.4808735636</c:v>
                </c:pt>
                <c:pt idx="56">
                  <c:v>13372.524814415599</c:v>
                </c:pt>
                <c:pt idx="57">
                  <c:v>13801.6648098244</c:v>
                </c:pt>
                <c:pt idx="58">
                  <c:v>14236.1429351364</c:v>
                </c:pt>
                <c:pt idx="59">
                  <c:v>14668.557617599499</c:v>
                </c:pt>
                <c:pt idx="60">
                  <c:v>15089.8458551106</c:v>
                </c:pt>
                <c:pt idx="61">
                  <c:v>15491.403069390401</c:v>
                </c:pt>
                <c:pt idx="62">
                  <c:v>15866.9362236086</c:v>
                </c:pt>
                <c:pt idx="63">
                  <c:v>16212.4062502409</c:v>
                </c:pt>
                <c:pt idx="64">
                  <c:v>16523.518719527001</c:v>
                </c:pt>
                <c:pt idx="65">
                  <c:v>16794.551139204101</c:v>
                </c:pt>
                <c:pt idx="66">
                  <c:v>17017.388829814299</c:v>
                </c:pt>
                <c:pt idx="67">
                  <c:v>17182.1286005074</c:v>
                </c:pt>
                <c:pt idx="68">
                  <c:v>17282.157372135302</c:v>
                </c:pt>
                <c:pt idx="69">
                  <c:v>17316.7767795447</c:v>
                </c:pt>
                <c:pt idx="70">
                  <c:v>17296.851883861</c:v>
                </c:pt>
                <c:pt idx="71">
                  <c:v>17240.8949784141</c:v>
                </c:pt>
                <c:pt idx="72">
                  <c:v>17168.615837695299</c:v>
                </c:pt>
                <c:pt idx="73">
                  <c:v>17093.598286411801</c:v>
                </c:pt>
                <c:pt idx="74">
                  <c:v>17019.617990893999</c:v>
                </c:pt>
                <c:pt idx="75">
                  <c:v>16946.6946346078</c:v>
                </c:pt>
                <c:pt idx="76">
                  <c:v>16873.055721110599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28-4F57-9B74-93A1AEC74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534784"/>
        <c:axId val="106536320"/>
      </c:lineChart>
      <c:catAx>
        <c:axId val="10653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6536320"/>
        <c:crosses val="autoZero"/>
        <c:auto val="1"/>
        <c:lblAlgn val="ctr"/>
        <c:lblOffset val="100"/>
        <c:noMultiLvlLbl val="0"/>
      </c:catAx>
      <c:valAx>
        <c:axId val="10653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653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07712832396027"/>
          <c:y val="7.6954730016696477E-2"/>
          <c:w val="0.65966186537828464"/>
          <c:h val="0.78670704816088111"/>
        </c:manualLayout>
      </c:layout>
      <c:lineChart>
        <c:grouping val="standard"/>
        <c:varyColors val="0"/>
        <c:ser>
          <c:idx val="0"/>
          <c:order val="0"/>
          <c:tx>
            <c:strRef>
              <c:f>'Gasto estructural'!$L$3</c:f>
              <c:strCache>
                <c:ptCount val="1"/>
                <c:pt idx="0">
                  <c:v>Gasto Estructural</c:v>
                </c:pt>
              </c:strCache>
            </c:strRef>
          </c:tx>
          <c:marker>
            <c:symbol val="none"/>
          </c:marker>
          <c:val>
            <c:numRef>
              <c:f>'Gasto estructural'!$L$4:$L$80</c:f>
              <c:numCache>
                <c:formatCode>0</c:formatCode>
                <c:ptCount val="72"/>
                <c:pt idx="0">
                  <c:v>1132.9695932635682</c:v>
                </c:pt>
                <c:pt idx="1">
                  <c:v>1108.9382541893658</c:v>
                </c:pt>
                <c:pt idx="2">
                  <c:v>1173.0782285008004</c:v>
                </c:pt>
                <c:pt idx="3">
                  <c:v>927.62028689657893</c:v>
                </c:pt>
                <c:pt idx="4">
                  <c:v>941.77071575144691</c:v>
                </c:pt>
                <c:pt idx="5">
                  <c:v>990.10485699887192</c:v>
                </c:pt>
                <c:pt idx="6">
                  <c:v>864.26637676056282</c:v>
                </c:pt>
                <c:pt idx="7">
                  <c:v>946.57646917449995</c:v>
                </c:pt>
                <c:pt idx="8">
                  <c:v>947.97575514705909</c:v>
                </c:pt>
                <c:pt idx="9">
                  <c:v>878.29088694479231</c:v>
                </c:pt>
                <c:pt idx="10">
                  <c:v>839.79794951431768</c:v>
                </c:pt>
                <c:pt idx="11">
                  <c:v>824.1957398058255</c:v>
                </c:pt>
                <c:pt idx="12">
                  <c:v>800.12208152887479</c:v>
                </c:pt>
                <c:pt idx="13">
                  <c:v>811.67606297049838</c:v>
                </c:pt>
                <c:pt idx="14">
                  <c:v>802.99402115741213</c:v>
                </c:pt>
                <c:pt idx="15">
                  <c:v>838.38401614417546</c:v>
                </c:pt>
                <c:pt idx="16">
                  <c:v>877.92732614370209</c:v>
                </c:pt>
                <c:pt idx="17">
                  <c:v>854.83760418307509</c:v>
                </c:pt>
                <c:pt idx="18">
                  <c:v>846.60677283707446</c:v>
                </c:pt>
                <c:pt idx="19">
                  <c:v>819.54129238825305</c:v>
                </c:pt>
                <c:pt idx="20">
                  <c:v>815.71905643447644</c:v>
                </c:pt>
                <c:pt idx="21">
                  <c:v>808.06123266497923</c:v>
                </c:pt>
                <c:pt idx="22">
                  <c:v>826.33612481947273</c:v>
                </c:pt>
                <c:pt idx="23">
                  <c:v>852.02839695388445</c:v>
                </c:pt>
                <c:pt idx="24">
                  <c:v>856.17900021483399</c:v>
                </c:pt>
                <c:pt idx="25">
                  <c:v>910.86902149788375</c:v>
                </c:pt>
                <c:pt idx="26">
                  <c:v>941.22767801044824</c:v>
                </c:pt>
                <c:pt idx="27">
                  <c:v>942.70104867631755</c:v>
                </c:pt>
                <c:pt idx="28">
                  <c:v>952.25040479415657</c:v>
                </c:pt>
                <c:pt idx="29">
                  <c:v>905.72992325497057</c:v>
                </c:pt>
                <c:pt idx="30">
                  <c:v>868.30943033806432</c:v>
                </c:pt>
                <c:pt idx="31">
                  <c:v>923.79628765998461</c:v>
                </c:pt>
                <c:pt idx="32">
                  <c:v>872.58204995173787</c:v>
                </c:pt>
                <c:pt idx="33">
                  <c:v>897.19485656910319</c:v>
                </c:pt>
                <c:pt idx="34">
                  <c:v>862.68498448278103</c:v>
                </c:pt>
                <c:pt idx="35">
                  <c:v>832.75882691827974</c:v>
                </c:pt>
                <c:pt idx="36">
                  <c:v>677</c:v>
                </c:pt>
                <c:pt idx="37">
                  <c:v>460.25368766249284</c:v>
                </c:pt>
                <c:pt idx="38">
                  <c:v>407.03092801674916</c:v>
                </c:pt>
                <c:pt idx="39">
                  <c:v>467.75252316204973</c:v>
                </c:pt>
                <c:pt idx="40">
                  <c:v>497.4439317358748</c:v>
                </c:pt>
                <c:pt idx="41">
                  <c:v>459.21555910095657</c:v>
                </c:pt>
                <c:pt idx="42">
                  <c:v>497.65399154335461</c:v>
                </c:pt>
                <c:pt idx="43">
                  <c:v>549.58445890863766</c:v>
                </c:pt>
                <c:pt idx="44">
                  <c:v>553.97701650027977</c:v>
                </c:pt>
                <c:pt idx="45">
                  <c:v>620.42895214831253</c:v>
                </c:pt>
                <c:pt idx="46">
                  <c:v>627.62640116175999</c:v>
                </c:pt>
                <c:pt idx="47">
                  <c:v>666.70755255129416</c:v>
                </c:pt>
                <c:pt idx="48">
                  <c:v>712.62788405795231</c:v>
                </c:pt>
                <c:pt idx="49">
                  <c:v>740.2747544675359</c:v>
                </c:pt>
                <c:pt idx="50">
                  <c:v>778.61292904872289</c:v>
                </c:pt>
                <c:pt idx="51">
                  <c:v>826.40437184102007</c:v>
                </c:pt>
                <c:pt idx="52">
                  <c:v>878.61704355843437</c:v>
                </c:pt>
                <c:pt idx="53">
                  <c:v>1040.3732926630796</c:v>
                </c:pt>
                <c:pt idx="54">
                  <c:v>1077.3059653406251</c:v>
                </c:pt>
                <c:pt idx="55">
                  <c:v>1162.7741773472994</c:v>
                </c:pt>
                <c:pt idx="56">
                  <c:v>1242.693169390139</c:v>
                </c:pt>
                <c:pt idx="57">
                  <c:v>1243.6636197711919</c:v>
                </c:pt>
                <c:pt idx="58">
                  <c:v>1283.2577700213742</c:v>
                </c:pt>
                <c:pt idx="59">
                  <c:v>1307.6036725968563</c:v>
                </c:pt>
                <c:pt idx="60">
                  <c:v>1492</c:v>
                </c:pt>
                <c:pt idx="61">
                  <c:v>1569</c:v>
                </c:pt>
                <c:pt idx="62">
                  <c:v>1859.4770769389886</c:v>
                </c:pt>
                <c:pt idx="63">
                  <c:v>1761.5509506846372</c:v>
                </c:pt>
                <c:pt idx="64">
                  <c:v>1528.3985106102716</c:v>
                </c:pt>
                <c:pt idx="65">
                  <c:v>1765.1546552824548</c:v>
                </c:pt>
                <c:pt idx="66">
                  <c:v>1960</c:v>
                </c:pt>
                <c:pt idx="67">
                  <c:v>2046</c:v>
                </c:pt>
                <c:pt idx="68">
                  <c:v>2302.5072447692778</c:v>
                </c:pt>
                <c:pt idx="69">
                  <c:v>2270.0130794066654</c:v>
                </c:pt>
                <c:pt idx="70">
                  <c:v>2416.1259199386359</c:v>
                </c:pt>
                <c:pt idx="71">
                  <c:v>2460.8936102805051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D-4777-849A-39A415BAE756}"/>
            </c:ext>
          </c:extLst>
        </c:ser>
        <c:ser>
          <c:idx val="1"/>
          <c:order val="1"/>
          <c:tx>
            <c:strRef>
              <c:f>'Gasto estructural'!$M$3</c:f>
              <c:strCache>
                <c:ptCount val="1"/>
                <c:pt idx="0">
                  <c:v>HP</c:v>
                </c:pt>
              </c:strCache>
            </c:strRef>
          </c:tx>
          <c:marker>
            <c:symbol val="none"/>
          </c:marker>
          <c:val>
            <c:numRef>
              <c:f>'Gasto estructural'!$M$4:$M$80</c:f>
              <c:numCache>
                <c:formatCode>0</c:formatCode>
                <c:ptCount val="72"/>
                <c:pt idx="0">
                  <c:v>1063.1598949520301</c:v>
                </c:pt>
                <c:pt idx="1">
                  <c:v>1052.2640518887499</c:v>
                </c:pt>
                <c:pt idx="2">
                  <c:v>1036.2044802468299</c:v>
                </c:pt>
                <c:pt idx="3">
                  <c:v>1015.70112826555</c:v>
                </c:pt>
                <c:pt idx="4">
                  <c:v>992.35189938171402</c:v>
                </c:pt>
                <c:pt idx="5">
                  <c:v>967.74768574945597</c:v>
                </c:pt>
                <c:pt idx="6">
                  <c:v>942.96586052911005</c:v>
                </c:pt>
                <c:pt idx="7">
                  <c:v>919.35632002350997</c:v>
                </c:pt>
                <c:pt idx="8">
                  <c:v>897.17930193019799</c:v>
                </c:pt>
                <c:pt idx="9">
                  <c:v>876.88148074648404</c:v>
                </c:pt>
                <c:pt idx="10">
                  <c:v>859.24773795037402</c:v>
                </c:pt>
                <c:pt idx="11">
                  <c:v>844.82414021240902</c:v>
                </c:pt>
                <c:pt idx="12">
                  <c:v>833.91427682362701</c:v>
                </c:pt>
                <c:pt idx="13">
                  <c:v>826.60349567294099</c:v>
                </c:pt>
                <c:pt idx="14">
                  <c:v>822.61800188102598</c:v>
                </c:pt>
                <c:pt idx="15">
                  <c:v>821.50796561183097</c:v>
                </c:pt>
                <c:pt idx="16">
                  <c:v>822.64737701049103</c:v>
                </c:pt>
                <c:pt idx="17">
                  <c:v>825.46514656602596</c:v>
                </c:pt>
                <c:pt idx="18">
                  <c:v>829.76371099735002</c:v>
                </c:pt>
                <c:pt idx="19">
                  <c:v>835.64085555771396</c:v>
                </c:pt>
                <c:pt idx="20">
                  <c:v>843.35672839039898</c:v>
                </c:pt>
                <c:pt idx="21">
                  <c:v>852.95506908310597</c:v>
                </c:pt>
                <c:pt idx="22">
                  <c:v>864.206049939634</c:v>
                </c:pt>
                <c:pt idx="23">
                  <c:v>876.41029257294997</c:v>
                </c:pt>
                <c:pt idx="24">
                  <c:v>888.52635809662502</c:v>
                </c:pt>
                <c:pt idx="25">
                  <c:v>899.29870469850096</c:v>
                </c:pt>
                <c:pt idx="26">
                  <c:v>907.14652698545297</c:v>
                </c:pt>
                <c:pt idx="27">
                  <c:v>910.64603251737196</c:v>
                </c:pt>
                <c:pt idx="28">
                  <c:v>908.77196358429399</c:v>
                </c:pt>
                <c:pt idx="29">
                  <c:v>900.81260215108205</c:v>
                </c:pt>
                <c:pt idx="30">
                  <c:v>886.48851054675697</c:v>
                </c:pt>
                <c:pt idx="31">
                  <c:v>865.67212507882698</c:v>
                </c:pt>
                <c:pt idx="32">
                  <c:v>838.20099694933401</c:v>
                </c:pt>
                <c:pt idx="33">
                  <c:v>804.39595610953302</c:v>
                </c:pt>
                <c:pt idx="34">
                  <c:v>764.965822541183</c:v>
                </c:pt>
                <c:pt idx="35">
                  <c:v>721.54545666495005</c:v>
                </c:pt>
                <c:pt idx="36">
                  <c:v>676.70006067608495</c:v>
                </c:pt>
                <c:pt idx="37">
                  <c:v>633.74938220319302</c:v>
                </c:pt>
                <c:pt idx="38">
                  <c:v>595.68616826811501</c:v>
                </c:pt>
                <c:pt idx="39">
                  <c:v>565.23567207066196</c:v>
                </c:pt>
                <c:pt idx="40">
                  <c:v>544.03628512796104</c:v>
                </c:pt>
                <c:pt idx="41">
                  <c:v>532.81404223643494</c:v>
                </c:pt>
                <c:pt idx="42">
                  <c:v>531.74461534122599</c:v>
                </c:pt>
                <c:pt idx="43">
                  <c:v>540.395535965112</c:v>
                </c:pt>
                <c:pt idx="44">
                  <c:v>557.87688947745903</c:v>
                </c:pt>
                <c:pt idx="45">
                  <c:v>583.19480588798206</c:v>
                </c:pt>
                <c:pt idx="46">
                  <c:v>615.26664631162203</c:v>
                </c:pt>
                <c:pt idx="47">
                  <c:v>653.34782380444301</c:v>
                </c:pt>
                <c:pt idx="48">
                  <c:v>696.83108495938802</c:v>
                </c:pt>
                <c:pt idx="49">
                  <c:v>745.30569813135799</c:v>
                </c:pt>
                <c:pt idx="50">
                  <c:v>798.60262082566101</c:v>
                </c:pt>
                <c:pt idx="51">
                  <c:v>856.54975356629097</c:v>
                </c:pt>
                <c:pt idx="52">
                  <c:v>918.81897066898398</c:v>
                </c:pt>
                <c:pt idx="53">
                  <c:v>984.79664891381503</c:v>
                </c:pt>
                <c:pt idx="54">
                  <c:v>1053.40097537416</c:v>
                </c:pt>
                <c:pt idx="55">
                  <c:v>1123.77217063428</c:v>
                </c:pt>
                <c:pt idx="56">
                  <c:v>1195.25644552467</c:v>
                </c:pt>
                <c:pt idx="57">
                  <c:v>1267.6522891694999</c:v>
                </c:pt>
                <c:pt idx="58">
                  <c:v>1341.2956262376699</c:v>
                </c:pt>
                <c:pt idx="59">
                  <c:v>1416.27585850642</c:v>
                </c:pt>
                <c:pt idx="60">
                  <c:v>1492.28943149058</c:v>
                </c:pt>
                <c:pt idx="61">
                  <c:v>1568.8400321199299</c:v>
                </c:pt>
                <c:pt idx="62">
                  <c:v>1645.3784530093501</c:v>
                </c:pt>
                <c:pt idx="63">
                  <c:v>1721.7270864525101</c:v>
                </c:pt>
                <c:pt idx="64">
                  <c:v>1798.704540213</c:v>
                </c:pt>
                <c:pt idx="65">
                  <c:v>1877.5021511898599</c:v>
                </c:pt>
                <c:pt idx="66">
                  <c:v>1959.5242108800201</c:v>
                </c:pt>
                <c:pt idx="67">
                  <c:v>2045.6999892685201</c:v>
                </c:pt>
                <c:pt idx="68">
                  <c:v>2136.0235142315801</c:v>
                </c:pt>
                <c:pt idx="69">
                  <c:v>2229.4118137527398</c:v>
                </c:pt>
                <c:pt idx="70">
                  <c:v>2324.6916806732402</c:v>
                </c:pt>
                <c:pt idx="71">
                  <c:v>2420.5757896967598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DD-4777-849A-39A415BAE756}"/>
            </c:ext>
          </c:extLst>
        </c:ser>
        <c:ser>
          <c:idx val="2"/>
          <c:order val="2"/>
          <c:tx>
            <c:v>ORG</c:v>
          </c:tx>
          <c:marker>
            <c:symbol val="none"/>
          </c:marker>
          <c:val>
            <c:numRef>
              <c:f>'Gasto estructural'!$I$4:$I$80</c:f>
              <c:numCache>
                <c:formatCode>0</c:formatCode>
                <c:ptCount val="72"/>
                <c:pt idx="0">
                  <c:v>1117.8</c:v>
                </c:pt>
                <c:pt idx="1">
                  <c:v>1083.1000000000001</c:v>
                </c:pt>
                <c:pt idx="2">
                  <c:v>1124.2</c:v>
                </c:pt>
                <c:pt idx="3">
                  <c:v>1015.1</c:v>
                </c:pt>
                <c:pt idx="4">
                  <c:v>941.4</c:v>
                </c:pt>
                <c:pt idx="5">
                  <c:v>994.7</c:v>
                </c:pt>
                <c:pt idx="6">
                  <c:v>851.09999999999991</c:v>
                </c:pt>
                <c:pt idx="7">
                  <c:v>954.19999999999993</c:v>
                </c:pt>
                <c:pt idx="8">
                  <c:v>947.2</c:v>
                </c:pt>
                <c:pt idx="9">
                  <c:v>869.9</c:v>
                </c:pt>
                <c:pt idx="10">
                  <c:v>834.59999999999991</c:v>
                </c:pt>
                <c:pt idx="11">
                  <c:v>822.5</c:v>
                </c:pt>
                <c:pt idx="12">
                  <c:v>797.90000000000009</c:v>
                </c:pt>
                <c:pt idx="13">
                  <c:v>809.2</c:v>
                </c:pt>
                <c:pt idx="14">
                  <c:v>805.1</c:v>
                </c:pt>
                <c:pt idx="15">
                  <c:v>826.85500000000002</c:v>
                </c:pt>
                <c:pt idx="16">
                  <c:v>860.10400000000004</c:v>
                </c:pt>
                <c:pt idx="17">
                  <c:v>855.35000818414323</c:v>
                </c:pt>
                <c:pt idx="18">
                  <c:v>845.70517069585503</c:v>
                </c:pt>
                <c:pt idx="19">
                  <c:v>813.52135159099578</c:v>
                </c:pt>
                <c:pt idx="20">
                  <c:v>816.44052959099577</c:v>
                </c:pt>
                <c:pt idx="21">
                  <c:v>805.6835295909957</c:v>
                </c:pt>
                <c:pt idx="22">
                  <c:v>830.04760288491048</c:v>
                </c:pt>
                <c:pt idx="23">
                  <c:v>855.24442198976976</c:v>
                </c:pt>
                <c:pt idx="24">
                  <c:v>856.26024398976983</c:v>
                </c:pt>
                <c:pt idx="25">
                  <c:v>914.98723989769826</c:v>
                </c:pt>
                <c:pt idx="26">
                  <c:v>946.85716660378341</c:v>
                </c:pt>
                <c:pt idx="27">
                  <c:v>941.764423098924</c:v>
                </c:pt>
                <c:pt idx="28">
                  <c:v>952.43942309892407</c:v>
                </c:pt>
                <c:pt idx="29">
                  <c:v>916.45341900685253</c:v>
                </c:pt>
                <c:pt idx="30">
                  <c:v>883.03425649514065</c:v>
                </c:pt>
                <c:pt idx="31">
                  <c:v>914.49399999999991</c:v>
                </c:pt>
                <c:pt idx="32">
                  <c:v>877.31100000000004</c:v>
                </c:pt>
                <c:pt idx="33">
                  <c:v>897.15900000000011</c:v>
                </c:pt>
                <c:pt idx="34">
                  <c:v>857.60500000000013</c:v>
                </c:pt>
                <c:pt idx="35">
                  <c:v>796.92600000000004</c:v>
                </c:pt>
                <c:pt idx="36">
                  <c:v>643.89499999999998</c:v>
                </c:pt>
                <c:pt idx="37">
                  <c:v>606.99799999999993</c:v>
                </c:pt>
                <c:pt idx="38">
                  <c:v>487.30799999999999</c:v>
                </c:pt>
                <c:pt idx="39">
                  <c:v>474.09599999999995</c:v>
                </c:pt>
                <c:pt idx="40">
                  <c:v>489.00699999999995</c:v>
                </c:pt>
                <c:pt idx="41">
                  <c:v>472.47399999999999</c:v>
                </c:pt>
                <c:pt idx="42">
                  <c:v>486.40800000000002</c:v>
                </c:pt>
                <c:pt idx="43">
                  <c:v>529.78500000000008</c:v>
                </c:pt>
                <c:pt idx="44">
                  <c:v>548.79433618000007</c:v>
                </c:pt>
                <c:pt idx="45">
                  <c:v>617.37691574999997</c:v>
                </c:pt>
                <c:pt idx="46">
                  <c:v>629.10499443000003</c:v>
                </c:pt>
                <c:pt idx="47">
                  <c:v>672.99531378999995</c:v>
                </c:pt>
                <c:pt idx="48">
                  <c:v>720.52560482999991</c:v>
                </c:pt>
                <c:pt idx="49">
                  <c:v>744.73506023999994</c:v>
                </c:pt>
                <c:pt idx="50">
                  <c:v>783.00101657853406</c:v>
                </c:pt>
                <c:pt idx="51">
                  <c:v>827.8895346845012</c:v>
                </c:pt>
                <c:pt idx="52">
                  <c:v>871.76238395657845</c:v>
                </c:pt>
                <c:pt idx="53">
                  <c:v>1007.2674025043068</c:v>
                </c:pt>
                <c:pt idx="54">
                  <c:v>1074.3492090406085</c:v>
                </c:pt>
                <c:pt idx="55">
                  <c:v>1168.6098830134349</c:v>
                </c:pt>
                <c:pt idx="56">
                  <c:v>1248.5563429157246</c:v>
                </c:pt>
                <c:pt idx="57">
                  <c:v>1242.8042482629385</c:v>
                </c:pt>
                <c:pt idx="58">
                  <c:v>1301.7391939599618</c:v>
                </c:pt>
                <c:pt idx="59">
                  <c:v>1397.0802130056613</c:v>
                </c:pt>
                <c:pt idx="60">
                  <c:v>1486.5864351686298</c:v>
                </c:pt>
                <c:pt idx="61">
                  <c:v>1606.1720480389536</c:v>
                </c:pt>
                <c:pt idx="62">
                  <c:v>1745.0845380463975</c:v>
                </c:pt>
                <c:pt idx="63">
                  <c:v>1759.3559821156455</c:v>
                </c:pt>
                <c:pt idx="64">
                  <c:v>1819.5657343133034</c:v>
                </c:pt>
                <c:pt idx="65">
                  <c:v>1830.0947402329796</c:v>
                </c:pt>
                <c:pt idx="66">
                  <c:v>1865.9345363479026</c:v>
                </c:pt>
                <c:pt idx="67">
                  <c:v>1937.7003928797076</c:v>
                </c:pt>
                <c:pt idx="68">
                  <c:v>2126.9710605764262</c:v>
                </c:pt>
                <c:pt idx="69">
                  <c:v>2217.5706525040528</c:v>
                </c:pt>
                <c:pt idx="70">
                  <c:v>2393.2260138123138</c:v>
                </c:pt>
                <c:pt idx="71">
                  <c:v>2480.7572875152878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DD-4777-849A-39A415BAE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200448"/>
        <c:axId val="190210432"/>
      </c:lineChart>
      <c:catAx>
        <c:axId val="19020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90210432"/>
        <c:crosses val="autoZero"/>
        <c:auto val="1"/>
        <c:lblAlgn val="ctr"/>
        <c:lblOffset val="100"/>
        <c:noMultiLvlLbl val="0"/>
      </c:catAx>
      <c:valAx>
        <c:axId val="19021043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0200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72050604093227"/>
          <c:y val="0.36225681726914821"/>
          <c:w val="0.20900452730424982"/>
          <c:h val="0.4993546709648206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7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'Gasto estructural'!$AR$4:$AR$80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estructural'!$AS$4:$AS$80</c:f>
              <c:numCache>
                <c:formatCode>0</c:formatCode>
                <c:ptCount val="72"/>
                <c:pt idx="0">
                  <c:v>3012</c:v>
                </c:pt>
                <c:pt idx="1">
                  <c:v>2864.6000000000004</c:v>
                </c:pt>
                <c:pt idx="2">
                  <c:v>2959.6</c:v>
                </c:pt>
                <c:pt idx="3">
                  <c:v>3240.9000000000005</c:v>
                </c:pt>
                <c:pt idx="4">
                  <c:v>3624.2000000000003</c:v>
                </c:pt>
                <c:pt idx="5">
                  <c:v>3985.3</c:v>
                </c:pt>
                <c:pt idx="6">
                  <c:v>3923.6</c:v>
                </c:pt>
                <c:pt idx="7">
                  <c:v>4010.5</c:v>
                </c:pt>
                <c:pt idx="8">
                  <c:v>3993.1000000000004</c:v>
                </c:pt>
                <c:pt idx="9">
                  <c:v>4227.8</c:v>
                </c:pt>
                <c:pt idx="10">
                  <c:v>4525.5</c:v>
                </c:pt>
                <c:pt idx="11">
                  <c:v>4757.1000000000004</c:v>
                </c:pt>
                <c:pt idx="12">
                  <c:v>4894.5</c:v>
                </c:pt>
                <c:pt idx="13">
                  <c:v>4858</c:v>
                </c:pt>
                <c:pt idx="14">
                  <c:v>4969.7620000000006</c:v>
                </c:pt>
                <c:pt idx="15">
                  <c:v>4998.1788530047597</c:v>
                </c:pt>
                <c:pt idx="16">
                  <c:v>5157.0331152932185</c:v>
                </c:pt>
                <c:pt idx="17">
                  <c:v>5314.8951576968675</c:v>
                </c:pt>
                <c:pt idx="18">
                  <c:v>5393.9050453780892</c:v>
                </c:pt>
                <c:pt idx="19">
                  <c:v>5497.8099413455675</c:v>
                </c:pt>
                <c:pt idx="20">
                  <c:v>5660.7120763626226</c:v>
                </c:pt>
                <c:pt idx="21">
                  <c:v>5714.8123681087563</c:v>
                </c:pt>
                <c:pt idx="22">
                  <c:v>5904.7974783499694</c:v>
                </c:pt>
                <c:pt idx="23">
                  <c:v>6232.0812562840983</c:v>
                </c:pt>
                <c:pt idx="24">
                  <c:v>6271.8281593119173</c:v>
                </c:pt>
                <c:pt idx="25">
                  <c:v>6554.1030273975375</c:v>
                </c:pt>
                <c:pt idx="26">
                  <c:v>6671.851027637842</c:v>
                </c:pt>
                <c:pt idx="27">
                  <c:v>7012.2720113853193</c:v>
                </c:pt>
                <c:pt idx="28">
                  <c:v>7237.3923282788401</c:v>
                </c:pt>
                <c:pt idx="29">
                  <c:v>7452.8385244212923</c:v>
                </c:pt>
                <c:pt idx="30">
                  <c:v>8151.8371933500803</c:v>
                </c:pt>
                <c:pt idx="31">
                  <c:v>8626.5758833602267</c:v>
                </c:pt>
                <c:pt idx="32">
                  <c:v>9556.6973362210483</c:v>
                </c:pt>
                <c:pt idx="33">
                  <c:v>10840.044588025467</c:v>
                </c:pt>
                <c:pt idx="34">
                  <c:v>12208.907180537593</c:v>
                </c:pt>
                <c:pt idx="35">
                  <c:v>14413.861656607523</c:v>
                </c:pt>
                <c:pt idx="36">
                  <c:v>14474.418564818865</c:v>
                </c:pt>
                <c:pt idx="37">
                  <c:v>14570.653957401319</c:v>
                </c:pt>
                <c:pt idx="38">
                  <c:v>14050.578085127669</c:v>
                </c:pt>
                <c:pt idx="39">
                  <c:v>13597.70379730375</c:v>
                </c:pt>
                <c:pt idx="40">
                  <c:v>13674.172459011686</c:v>
                </c:pt>
                <c:pt idx="41">
                  <c:v>14637.770155905862</c:v>
                </c:pt>
                <c:pt idx="42">
                  <c:v>15260.035381126896</c:v>
                </c:pt>
                <c:pt idx="43">
                  <c:v>16266.45681529634</c:v>
                </c:pt>
                <c:pt idx="44">
                  <c:v>17478.979587484115</c:v>
                </c:pt>
                <c:pt idx="45">
                  <c:v>17630.744542142227</c:v>
                </c:pt>
                <c:pt idx="46">
                  <c:v>18076.477946096424</c:v>
                </c:pt>
                <c:pt idx="47">
                  <c:v>18434.75597669429</c:v>
                </c:pt>
                <c:pt idx="48">
                  <c:v>19102.702069753308</c:v>
                </c:pt>
                <c:pt idx="49">
                  <c:v>19661.465514872372</c:v>
                </c:pt>
                <c:pt idx="50">
                  <c:v>20265.581464555653</c:v>
                </c:pt>
                <c:pt idx="51">
                  <c:v>21225.553071946048</c:v>
                </c:pt>
                <c:pt idx="52">
                  <c:v>21860.086840254382</c:v>
                </c:pt>
                <c:pt idx="53">
                  <c:v>22746.078380876017</c:v>
                </c:pt>
                <c:pt idx="54">
                  <c:v>24173.872396546569</c:v>
                </c:pt>
                <c:pt idx="55">
                  <c:v>25861.2747497091</c:v>
                </c:pt>
                <c:pt idx="56">
                  <c:v>26081.440922396534</c:v>
                </c:pt>
                <c:pt idx="57">
                  <c:v>26153.183909602343</c:v>
                </c:pt>
                <c:pt idx="58">
                  <c:v>26606.474261772277</c:v>
                </c:pt>
                <c:pt idx="59">
                  <c:v>26793.86498189807</c:v>
                </c:pt>
                <c:pt idx="60">
                  <c:v>26644.59274230916</c:v>
                </c:pt>
                <c:pt idx="61">
                  <c:v>26823.125557054642</c:v>
                </c:pt>
                <c:pt idx="62">
                  <c:v>25462.758851976312</c:v>
                </c:pt>
                <c:pt idx="63">
                  <c:v>24149.130802978212</c:v>
                </c:pt>
                <c:pt idx="64">
                  <c:v>23650.190004663422</c:v>
                </c:pt>
                <c:pt idx="65">
                  <c:v>22728.892393584276</c:v>
                </c:pt>
                <c:pt idx="66">
                  <c:v>23305.404994046105</c:v>
                </c:pt>
                <c:pt idx="67">
                  <c:v>24102.605392734706</c:v>
                </c:pt>
                <c:pt idx="68">
                  <c:v>24841.073551840607</c:v>
                </c:pt>
                <c:pt idx="69">
                  <c:v>25213.35343820331</c:v>
                </c:pt>
                <c:pt idx="70">
                  <c:v>24226.812814013465</c:v>
                </c:pt>
                <c:pt idx="71">
                  <c:v>24310.489623830756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C-485D-A0BD-DFF7DCD8D416}"/>
            </c:ext>
          </c:extLst>
        </c:ser>
        <c:ser>
          <c:idx val="1"/>
          <c:order val="1"/>
          <c:marker>
            <c:symbol val="none"/>
          </c:marker>
          <c:cat>
            <c:strRef>
              <c:f>'Gasto estructural'!$AR$4:$AR$80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estructural'!$BF$4:$BF$80</c:f>
              <c:numCache>
                <c:formatCode>0</c:formatCode>
                <c:ptCount val="72"/>
                <c:pt idx="0">
                  <c:v>3083.0709640297482</c:v>
                </c:pt>
                <c:pt idx="1">
                  <c:v>2956.3874788988942</c:v>
                </c:pt>
                <c:pt idx="2">
                  <c:v>3129.1093890915704</c:v>
                </c:pt>
                <c:pt idx="3">
                  <c:v>3856.8951602814477</c:v>
                </c:pt>
                <c:pt idx="4">
                  <c:v>3620.7495896655237</c:v>
                </c:pt>
                <c:pt idx="5">
                  <c:v>3949.5935718299611</c:v>
                </c:pt>
                <c:pt idx="6">
                  <c:v>3925.6605016921758</c:v>
                </c:pt>
                <c:pt idx="7">
                  <c:v>3995.9063310233882</c:v>
                </c:pt>
                <c:pt idx="8">
                  <c:v>3984.1060257134459</c:v>
                </c:pt>
                <c:pt idx="9">
                  <c:v>4195.2918712005712</c:v>
                </c:pt>
                <c:pt idx="10">
                  <c:v>4471.4962959133709</c:v>
                </c:pt>
                <c:pt idx="11">
                  <c:v>4719.5010949804773</c:v>
                </c:pt>
                <c:pt idx="12">
                  <c:v>4878.8909322369673</c:v>
                </c:pt>
                <c:pt idx="13">
                  <c:v>4851.5828981749246</c:v>
                </c:pt>
                <c:pt idx="14">
                  <c:v>5035.2561114317186</c:v>
                </c:pt>
                <c:pt idx="15">
                  <c:v>5016.7050075816578</c:v>
                </c:pt>
                <c:pt idx="16">
                  <c:v>5246.0575370993083</c:v>
                </c:pt>
                <c:pt idx="17">
                  <c:v>5332.9174665575711</c:v>
                </c:pt>
                <c:pt idx="18">
                  <c:v>5385.370361358061</c:v>
                </c:pt>
                <c:pt idx="19">
                  <c:v>5475.5818440222229</c:v>
                </c:pt>
                <c:pt idx="20">
                  <c:v>5616.029477535345</c:v>
                </c:pt>
                <c:pt idx="21">
                  <c:v>5700.8053792918017</c:v>
                </c:pt>
                <c:pt idx="22">
                  <c:v>5875.1509440559639</c:v>
                </c:pt>
                <c:pt idx="23">
                  <c:v>6186.8797534564856</c:v>
                </c:pt>
                <c:pt idx="24">
                  <c:v>6267.5004534485088</c:v>
                </c:pt>
                <c:pt idx="25">
                  <c:v>6534.4434995160691</c:v>
                </c:pt>
                <c:pt idx="26">
                  <c:v>6650.0938555062557</c:v>
                </c:pt>
                <c:pt idx="27">
                  <c:v>6944.3938614934159</c:v>
                </c:pt>
                <c:pt idx="28">
                  <c:v>7233.0659689932982</c:v>
                </c:pt>
                <c:pt idx="29">
                  <c:v>7541.88458608579</c:v>
                </c:pt>
                <c:pt idx="30">
                  <c:v>8553.1666244920125</c:v>
                </c:pt>
                <c:pt idx="31">
                  <c:v>8773.3375661945665</c:v>
                </c:pt>
                <c:pt idx="32">
                  <c:v>9705.4293845411194</c:v>
                </c:pt>
                <c:pt idx="33">
                  <c:v>10842.690709047421</c:v>
                </c:pt>
                <c:pt idx="34">
                  <c:v>11985.236996255355</c:v>
                </c:pt>
                <c:pt idx="35">
                  <c:v>12802.572619605615</c:v>
                </c:pt>
                <c:pt idx="36">
                  <c:v>14039.747684000844</c:v>
                </c:pt>
                <c:pt idx="37">
                  <c:v>15289.605320091605</c:v>
                </c:pt>
                <c:pt idx="38">
                  <c:v>13736.581079978801</c:v>
                </c:pt>
                <c:pt idx="39">
                  <c:v>13412.579410759783</c:v>
                </c:pt>
                <c:pt idx="40">
                  <c:v>13747.234130313775</c:v>
                </c:pt>
                <c:pt idx="41">
                  <c:v>15594.311311967631</c:v>
                </c:pt>
                <c:pt idx="42">
                  <c:v>15801.358565913722</c:v>
                </c:pt>
                <c:pt idx="43">
                  <c:v>16727.165136488849</c:v>
                </c:pt>
                <c:pt idx="44">
                  <c:v>17852.554263450686</c:v>
                </c:pt>
                <c:pt idx="45">
                  <c:v>17638.569609229336</c:v>
                </c:pt>
                <c:pt idx="46">
                  <c:v>18016.73444781786</c:v>
                </c:pt>
                <c:pt idx="47">
                  <c:v>18380.819468541624</c:v>
                </c:pt>
                <c:pt idx="48">
                  <c:v>18992.269126148327</c:v>
                </c:pt>
                <c:pt idx="49">
                  <c:v>19557.199396413565</c:v>
                </c:pt>
                <c:pt idx="50">
                  <c:v>20197.469809507566</c:v>
                </c:pt>
                <c:pt idx="51">
                  <c:v>21193.693093889942</c:v>
                </c:pt>
                <c:pt idx="52">
                  <c:v>21962.302815113435</c:v>
                </c:pt>
                <c:pt idx="53">
                  <c:v>22949.713715883714</c:v>
                </c:pt>
                <c:pt idx="54">
                  <c:v>24237.67746081284</c:v>
                </c:pt>
                <c:pt idx="55">
                  <c:v>25751.878955459324</c:v>
                </c:pt>
                <c:pt idx="56">
                  <c:v>26065.537482613356</c:v>
                </c:pt>
                <c:pt idx="57">
                  <c:v>26140.783101443201</c:v>
                </c:pt>
                <c:pt idx="58">
                  <c:v>26460.379980737263</c:v>
                </c:pt>
                <c:pt idx="59">
                  <c:v>26601.957713642587</c:v>
                </c:pt>
                <c:pt idx="60">
                  <c:v>27006.404350162087</c:v>
                </c:pt>
                <c:pt idx="61">
                  <c:v>27349.20330584162</c:v>
                </c:pt>
                <c:pt idx="62">
                  <c:v>25416.237729250701</c:v>
                </c:pt>
                <c:pt idx="63">
                  <c:v>25165.681300197099</c:v>
                </c:pt>
                <c:pt idx="64">
                  <c:v>24916.223827521</c:v>
                </c:pt>
                <c:pt idx="65">
                  <c:v>24584.358209655373</c:v>
                </c:pt>
                <c:pt idx="66">
                  <c:v>24272.79279483471</c:v>
                </c:pt>
                <c:pt idx="67">
                  <c:v>23770.088438493549</c:v>
                </c:pt>
                <c:pt idx="68">
                  <c:v>24124.490627843854</c:v>
                </c:pt>
                <c:pt idx="69">
                  <c:v>23997.645785375698</c:v>
                </c:pt>
                <c:pt idx="70">
                  <c:v>24036.173251590193</c:v>
                </c:pt>
                <c:pt idx="71">
                  <c:v>24585.946669921057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C-485D-A0BD-DFF7DCD8D416}"/>
            </c:ext>
          </c:extLst>
        </c:ser>
        <c:ser>
          <c:idx val="2"/>
          <c:order val="2"/>
          <c:marker>
            <c:symbol val="none"/>
          </c:marker>
          <c:cat>
            <c:strRef>
              <c:f>'Gasto estructural'!$AR$4:$AR$80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estructural'!$AW$4:$AW$80</c:f>
              <c:numCache>
                <c:formatCode>0</c:formatCode>
                <c:ptCount val="72"/>
                <c:pt idx="0">
                  <c:v>3367.5212341923798</c:v>
                </c:pt>
                <c:pt idx="1">
                  <c:v>3360.0507385699598</c:v>
                </c:pt>
                <c:pt idx="2">
                  <c:v>3390.59066738929</c:v>
                </c:pt>
                <c:pt idx="3">
                  <c:v>3457.2279294283799</c:v>
                </c:pt>
                <c:pt idx="4">
                  <c:v>3553.7435267913802</c:v>
                </c:pt>
                <c:pt idx="5">
                  <c:v>3671.7561822881198</c:v>
                </c:pt>
                <c:pt idx="6">
                  <c:v>3803.58718346055</c:v>
                </c:pt>
                <c:pt idx="7">
                  <c:v>3944.6902560277199</c:v>
                </c:pt>
                <c:pt idx="8">
                  <c:v>4091.5532538740599</c:v>
                </c:pt>
                <c:pt idx="9">
                  <c:v>4241.1571283237599</c:v>
                </c:pt>
                <c:pt idx="10">
                  <c:v>4389.3272981622504</c:v>
                </c:pt>
                <c:pt idx="11">
                  <c:v>4531.58761089171</c:v>
                </c:pt>
                <c:pt idx="12">
                  <c:v>4664.82864103272</c:v>
                </c:pt>
                <c:pt idx="13">
                  <c:v>4788.1950869969196</c:v>
                </c:pt>
                <c:pt idx="14">
                  <c:v>4903.1333607856204</c:v>
                </c:pt>
                <c:pt idx="15">
                  <c:v>5011.7879235301898</c:v>
                </c:pt>
                <c:pt idx="16">
                  <c:v>5116.9719027541196</c:v>
                </c:pt>
                <c:pt idx="17">
                  <c:v>5221.36054674559</c:v>
                </c:pt>
                <c:pt idx="18">
                  <c:v>5328.0293847652702</c:v>
                </c:pt>
                <c:pt idx="19">
                  <c:v>5440.9903406063404</c:v>
                </c:pt>
                <c:pt idx="20">
                  <c:v>5564.91504421434</c:v>
                </c:pt>
                <c:pt idx="21">
                  <c:v>5705.0452221287396</c:v>
                </c:pt>
                <c:pt idx="22">
                  <c:v>5867.5834504468903</c:v>
                </c:pt>
                <c:pt idx="23">
                  <c:v>6058.8318530448196</c:v>
                </c:pt>
                <c:pt idx="24">
                  <c:v>6285.4667192941097</c:v>
                </c:pt>
                <c:pt idx="25">
                  <c:v>6555.8960200358897</c:v>
                </c:pt>
                <c:pt idx="26">
                  <c:v>6878.3930589183601</c:v>
                </c:pt>
                <c:pt idx="27">
                  <c:v>7261.2121793893302</c:v>
                </c:pt>
                <c:pt idx="28">
                  <c:v>7710.5437943074703</c:v>
                </c:pt>
                <c:pt idx="29">
                  <c:v>8230.0861947375397</c:v>
                </c:pt>
                <c:pt idx="30">
                  <c:v>8818.8022338012197</c:v>
                </c:pt>
                <c:pt idx="31">
                  <c:v>9467.8839026728201</c:v>
                </c:pt>
                <c:pt idx="32">
                  <c:v>10161.855170188601</c:v>
                </c:pt>
                <c:pt idx="33">
                  <c:v>10876.831166158199</c:v>
                </c:pt>
                <c:pt idx="34">
                  <c:v>11582.8784686893</c:v>
                </c:pt>
                <c:pt idx="35">
                  <c:v>12249.695344228099</c:v>
                </c:pt>
                <c:pt idx="36">
                  <c:v>12853.241274533601</c:v>
                </c:pt>
                <c:pt idx="37">
                  <c:v>13391.1187879228</c:v>
                </c:pt>
                <c:pt idx="38">
                  <c:v>13877.137999967401</c:v>
                </c:pt>
                <c:pt idx="39">
                  <c:v>14336.907838359601</c:v>
                </c:pt>
                <c:pt idx="40">
                  <c:v>14797.775850792201</c:v>
                </c:pt>
                <c:pt idx="41">
                  <c:v>15279.7005065742</c:v>
                </c:pt>
                <c:pt idx="42">
                  <c:v>15791.4025165068</c:v>
                </c:pt>
                <c:pt idx="43">
                  <c:v>16335.1855863254</c:v>
                </c:pt>
                <c:pt idx="44">
                  <c:v>16908.039396600401</c:v>
                </c:pt>
                <c:pt idx="45">
                  <c:v>17506.261772038801</c:v>
                </c:pt>
                <c:pt idx="46">
                  <c:v>18131.8601433818</c:v>
                </c:pt>
                <c:pt idx="47">
                  <c:v>18788.0893236501</c:v>
                </c:pt>
                <c:pt idx="48">
                  <c:v>19477.6455244305</c:v>
                </c:pt>
                <c:pt idx="49">
                  <c:v>20199.694064073599</c:v>
                </c:pt>
                <c:pt idx="50">
                  <c:v>20949.653805685299</c:v>
                </c:pt>
                <c:pt idx="51">
                  <c:v>21717.556671731101</c:v>
                </c:pt>
                <c:pt idx="52">
                  <c:v>22486.598046619401</c:v>
                </c:pt>
                <c:pt idx="53">
                  <c:v>23235.057748041501</c:v>
                </c:pt>
                <c:pt idx="54">
                  <c:v>23934.949613222299</c:v>
                </c:pt>
                <c:pt idx="55">
                  <c:v>24553.396901906501</c:v>
                </c:pt>
                <c:pt idx="56">
                  <c:v>25059.9133777063</c:v>
                </c:pt>
                <c:pt idx="57">
                  <c:v>25437.0888352152</c:v>
                </c:pt>
                <c:pt idx="58">
                  <c:v>25677.723935249302</c:v>
                </c:pt>
                <c:pt idx="59">
                  <c:v>25781.778450272799</c:v>
                </c:pt>
                <c:pt idx="60">
                  <c:v>25758.494913397299</c:v>
                </c:pt>
                <c:pt idx="61">
                  <c:v>25627.238073231601</c:v>
                </c:pt>
                <c:pt idx="62">
                  <c:v>25416.237729250701</c:v>
                </c:pt>
                <c:pt idx="63">
                  <c:v>25165.681300197099</c:v>
                </c:pt>
                <c:pt idx="64">
                  <c:v>24916.223827521</c:v>
                </c:pt>
                <c:pt idx="65">
                  <c:v>24698.353539670501</c:v>
                </c:pt>
                <c:pt idx="66">
                  <c:v>24529.896426818399</c:v>
                </c:pt>
                <c:pt idx="67">
                  <c:v>24408.984943741099</c:v>
                </c:pt>
                <c:pt idx="68">
                  <c:v>24321.502580946501</c:v>
                </c:pt>
                <c:pt idx="69">
                  <c:v>24250.272979505298</c:v>
                </c:pt>
                <c:pt idx="70">
                  <c:v>24183.3147546787</c:v>
                </c:pt>
                <c:pt idx="71">
                  <c:v>24118.273791932701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C-485D-A0BD-DFF7DCD8D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741760"/>
        <c:axId val="196747648"/>
      </c:lineChart>
      <c:catAx>
        <c:axId val="196741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6747648"/>
        <c:crosses val="autoZero"/>
        <c:auto val="1"/>
        <c:lblAlgn val="ctr"/>
        <c:lblOffset val="100"/>
        <c:noMultiLvlLbl val="0"/>
      </c:catAx>
      <c:valAx>
        <c:axId val="1967476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6741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'Gasto estructural'!$AF$4:$AF$80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estructural'!$AG$4:$AG$80</c:f>
              <c:numCache>
                <c:formatCode>0</c:formatCode>
                <c:ptCount val="72"/>
                <c:pt idx="0">
                  <c:v>406.6</c:v>
                </c:pt>
                <c:pt idx="1">
                  <c:v>414.1</c:v>
                </c:pt>
                <c:pt idx="2">
                  <c:v>434</c:v>
                </c:pt>
                <c:pt idx="3">
                  <c:v>425.3</c:v>
                </c:pt>
                <c:pt idx="4">
                  <c:v>506.2</c:v>
                </c:pt>
                <c:pt idx="5">
                  <c:v>549.6</c:v>
                </c:pt>
                <c:pt idx="6">
                  <c:v>570.70000000000005</c:v>
                </c:pt>
                <c:pt idx="7">
                  <c:v>644.6</c:v>
                </c:pt>
                <c:pt idx="8">
                  <c:v>620.6</c:v>
                </c:pt>
                <c:pt idx="9">
                  <c:v>661.1</c:v>
                </c:pt>
                <c:pt idx="10">
                  <c:v>648.5</c:v>
                </c:pt>
                <c:pt idx="11">
                  <c:v>610.59999999999991</c:v>
                </c:pt>
                <c:pt idx="12">
                  <c:v>624.09999999999991</c:v>
                </c:pt>
                <c:pt idx="13">
                  <c:v>578.5</c:v>
                </c:pt>
                <c:pt idx="14">
                  <c:v>654.46199999999999</c:v>
                </c:pt>
                <c:pt idx="15">
                  <c:v>659.85799999999995</c:v>
                </c:pt>
                <c:pt idx="16">
                  <c:v>669.9673762066667</c:v>
                </c:pt>
                <c:pt idx="17">
                  <c:v>701.99315174666674</c:v>
                </c:pt>
                <c:pt idx="18">
                  <c:v>649.43157154666665</c:v>
                </c:pt>
                <c:pt idx="19">
                  <c:v>709.74833354666657</c:v>
                </c:pt>
                <c:pt idx="20">
                  <c:v>687.89618059999998</c:v>
                </c:pt>
                <c:pt idx="21">
                  <c:v>638.3886862600001</c:v>
                </c:pt>
                <c:pt idx="22">
                  <c:v>703.46660913999995</c:v>
                </c:pt>
                <c:pt idx="23">
                  <c:v>828.62748386999999</c:v>
                </c:pt>
                <c:pt idx="24">
                  <c:v>863.13274023333327</c:v>
                </c:pt>
                <c:pt idx="25">
                  <c:v>895.32665696666663</c:v>
                </c:pt>
                <c:pt idx="26">
                  <c:v>834.19828976333326</c:v>
                </c:pt>
                <c:pt idx="27">
                  <c:v>829.36031063666678</c:v>
                </c:pt>
                <c:pt idx="28">
                  <c:v>955.8529592805462</c:v>
                </c:pt>
                <c:pt idx="29">
                  <c:v>1184.0853753210463</c:v>
                </c:pt>
                <c:pt idx="30">
                  <c:v>1510.2252716735461</c:v>
                </c:pt>
                <c:pt idx="31">
                  <c:v>1671.7820680510463</c:v>
                </c:pt>
                <c:pt idx="32">
                  <c:v>1930.3691484438332</c:v>
                </c:pt>
                <c:pt idx="33">
                  <c:v>2287.870802898</c:v>
                </c:pt>
                <c:pt idx="34">
                  <c:v>3074.9805302688337</c:v>
                </c:pt>
                <c:pt idx="35">
                  <c:v>4307.9090154930564</c:v>
                </c:pt>
                <c:pt idx="36">
                  <c:v>4264.4633408030568</c:v>
                </c:pt>
                <c:pt idx="37">
                  <c:v>4232.7038800700566</c:v>
                </c:pt>
                <c:pt idx="38">
                  <c:v>3795.8876290000562</c:v>
                </c:pt>
                <c:pt idx="39">
                  <c:v>3507.0963961449997</c:v>
                </c:pt>
                <c:pt idx="40">
                  <c:v>3459.1424263131275</c:v>
                </c:pt>
                <c:pt idx="41">
                  <c:v>3902.765976419219</c:v>
                </c:pt>
                <c:pt idx="42">
                  <c:v>3887.446142188368</c:v>
                </c:pt>
                <c:pt idx="43">
                  <c:v>3896.083098933666</c:v>
                </c:pt>
                <c:pt idx="44">
                  <c:v>4520.8092631766813</c:v>
                </c:pt>
                <c:pt idx="45">
                  <c:v>4424.2948213167329</c:v>
                </c:pt>
                <c:pt idx="46">
                  <c:v>4793.2958419008664</c:v>
                </c:pt>
                <c:pt idx="47">
                  <c:v>5208.8043132217645</c:v>
                </c:pt>
                <c:pt idx="48">
                  <c:v>5538.2520041106218</c:v>
                </c:pt>
                <c:pt idx="49">
                  <c:v>5865.5018021594788</c:v>
                </c:pt>
                <c:pt idx="50">
                  <c:v>6006.7658341261958</c:v>
                </c:pt>
                <c:pt idx="51">
                  <c:v>6209.3867256634712</c:v>
                </c:pt>
                <c:pt idx="52">
                  <c:v>6296.5993398734718</c:v>
                </c:pt>
                <c:pt idx="53">
                  <c:v>6693.7366162534709</c:v>
                </c:pt>
                <c:pt idx="54">
                  <c:v>7318.5449507584717</c:v>
                </c:pt>
                <c:pt idx="55">
                  <c:v>8505.671453035</c:v>
                </c:pt>
                <c:pt idx="56">
                  <c:v>8526.008608574999</c:v>
                </c:pt>
                <c:pt idx="57">
                  <c:v>8411.539303345</c:v>
                </c:pt>
                <c:pt idx="58">
                  <c:v>8514.2655016799981</c:v>
                </c:pt>
                <c:pt idx="59">
                  <c:v>8289.5297185500003</c:v>
                </c:pt>
                <c:pt idx="60">
                  <c:v>7833.6490346600012</c:v>
                </c:pt>
                <c:pt idx="61">
                  <c:v>7823.8125331500005</c:v>
                </c:pt>
                <c:pt idx="62">
                  <c:v>6524.1310113100008</c:v>
                </c:pt>
                <c:pt idx="63">
                  <c:v>5541.6040522879593</c:v>
                </c:pt>
                <c:pt idx="64">
                  <c:v>5178.8059278879582</c:v>
                </c:pt>
                <c:pt idx="65">
                  <c:v>4212.5386759979592</c:v>
                </c:pt>
                <c:pt idx="66">
                  <c:v>5213.1493792579586</c:v>
                </c:pt>
                <c:pt idx="67">
                  <c:v>6104.7526720850001</c:v>
                </c:pt>
                <c:pt idx="68">
                  <c:v>6693.2409919849997</c:v>
                </c:pt>
                <c:pt idx="69">
                  <c:v>6997.7826760849994</c:v>
                </c:pt>
                <c:pt idx="70">
                  <c:v>5866.4295910849996</c:v>
                </c:pt>
                <c:pt idx="71">
                  <c:v>5086.4634988600001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84-4935-81D3-9F86133716D6}"/>
            </c:ext>
          </c:extLst>
        </c:ser>
        <c:ser>
          <c:idx val="1"/>
          <c:order val="1"/>
          <c:marker>
            <c:symbol val="none"/>
          </c:marker>
          <c:cat>
            <c:strRef>
              <c:f>'Gasto estructural'!$AF$4:$AF$80</c:f>
              <c:strCache>
                <c:ptCount val="72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 Q1</c:v>
                </c:pt>
                <c:pt idx="49">
                  <c:v>2012Q2</c:v>
                </c:pt>
                <c:pt idx="50">
                  <c:v>2012 Q3</c:v>
                </c:pt>
                <c:pt idx="51">
                  <c:v>2012 Q4</c:v>
                </c:pt>
                <c:pt idx="52">
                  <c:v>2013 Q1</c:v>
                </c:pt>
                <c:pt idx="53">
                  <c:v>2013 Q2</c:v>
                </c:pt>
                <c:pt idx="54">
                  <c:v>2013 Q3</c:v>
                </c:pt>
                <c:pt idx="55">
                  <c:v>2013 Q4</c:v>
                </c:pt>
                <c:pt idx="56">
                  <c:v>2014 Q1</c:v>
                </c:pt>
                <c:pt idx="57">
                  <c:v>2014 Q2</c:v>
                </c:pt>
                <c:pt idx="58">
                  <c:v>2014 Q3</c:v>
                </c:pt>
                <c:pt idx="59">
                  <c:v>2014 Q4</c:v>
                </c:pt>
                <c:pt idx="60">
                  <c:v>2015 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</c:strCache>
            </c:strRef>
          </c:cat>
          <c:val>
            <c:numRef>
              <c:f>'Gasto estructural'!$AJ$4:$AJ$80</c:f>
              <c:numCache>
                <c:formatCode>0</c:formatCode>
                <c:ptCount val="72"/>
                <c:pt idx="0">
                  <c:v>427.17545278330215</c:v>
                </c:pt>
                <c:pt idx="1">
                  <c:v>408.33949539862806</c:v>
                </c:pt>
                <c:pt idx="2">
                  <c:v>458.03355760616427</c:v>
                </c:pt>
                <c:pt idx="3">
                  <c:v>417.45616200496522</c:v>
                </c:pt>
                <c:pt idx="4">
                  <c:v>505.67811598291178</c:v>
                </c:pt>
                <c:pt idx="5">
                  <c:v>545.75981989361867</c:v>
                </c:pt>
                <c:pt idx="6">
                  <c:v>568.37489270039725</c:v>
                </c:pt>
                <c:pt idx="7">
                  <c:v>639.09641597617292</c:v>
                </c:pt>
                <c:pt idx="8">
                  <c:v>623.18393645828223</c:v>
                </c:pt>
                <c:pt idx="9">
                  <c:v>656.04455826475021</c:v>
                </c:pt>
                <c:pt idx="10">
                  <c:v>650.3938524305745</c:v>
                </c:pt>
                <c:pt idx="11">
                  <c:v>615.6904843877544</c:v>
                </c:pt>
                <c:pt idx="12">
                  <c:v>622.81828018021156</c:v>
                </c:pt>
                <c:pt idx="13">
                  <c:v>569.45292928243066</c:v>
                </c:pt>
                <c:pt idx="14">
                  <c:v>700.42892841897651</c:v>
                </c:pt>
                <c:pt idx="15">
                  <c:v>662.65182445424387</c:v>
                </c:pt>
                <c:pt idx="16">
                  <c:v>675.22334372386899</c:v>
                </c:pt>
                <c:pt idx="17">
                  <c:v>705.64065782329533</c:v>
                </c:pt>
                <c:pt idx="18">
                  <c:v>654.042832918832</c:v>
                </c:pt>
                <c:pt idx="19">
                  <c:v>697.09192623203762</c:v>
                </c:pt>
                <c:pt idx="20">
                  <c:v>693.13407725453874</c:v>
                </c:pt>
                <c:pt idx="21">
                  <c:v>648.74773137552825</c:v>
                </c:pt>
                <c:pt idx="22">
                  <c:v>692.91917268034729</c:v>
                </c:pt>
                <c:pt idx="23">
                  <c:v>810.53065002733524</c:v>
                </c:pt>
                <c:pt idx="24">
                  <c:v>860.26619431547533</c:v>
                </c:pt>
                <c:pt idx="25">
                  <c:v>893.13290938703312</c:v>
                </c:pt>
                <c:pt idx="26">
                  <c:v>844.00636875797125</c:v>
                </c:pt>
                <c:pt idx="27">
                  <c:v>830.24973954612585</c:v>
                </c:pt>
                <c:pt idx="28">
                  <c:v>953.30368043812769</c:v>
                </c:pt>
                <c:pt idx="29">
                  <c:v>1275.5186614145696</c:v>
                </c:pt>
                <c:pt idx="30">
                  <c:v>1714.7610735345029</c:v>
                </c:pt>
                <c:pt idx="31">
                  <c:v>1723.3655307885658</c:v>
                </c:pt>
                <c:pt idx="32">
                  <c:v>1970.4706548436577</c:v>
                </c:pt>
                <c:pt idx="33">
                  <c:v>2288.6194336924896</c:v>
                </c:pt>
                <c:pt idx="34">
                  <c:v>2936.4810960758314</c:v>
                </c:pt>
                <c:pt idx="35">
                  <c:v>3357.5457661171667</c:v>
                </c:pt>
                <c:pt idx="36">
                  <c:v>4361.5362798351834</c:v>
                </c:pt>
                <c:pt idx="37">
                  <c:v>4083.167235561868</c:v>
                </c:pt>
                <c:pt idx="38">
                  <c:v>3454.6031704839656</c:v>
                </c:pt>
                <c:pt idx="39">
                  <c:v>3377.0033903037679</c:v>
                </c:pt>
                <c:pt idx="40">
                  <c:v>3433.5128998846249</c:v>
                </c:pt>
                <c:pt idx="41">
                  <c:v>4347.723151957558</c:v>
                </c:pt>
                <c:pt idx="42">
                  <c:v>3875.6371787248977</c:v>
                </c:pt>
                <c:pt idx="43">
                  <c:v>3899.6461839911212</c:v>
                </c:pt>
                <c:pt idx="44">
                  <c:v>4714.7484687959404</c:v>
                </c:pt>
                <c:pt idx="45">
                  <c:v>4420.5691794150362</c:v>
                </c:pt>
                <c:pt idx="46">
                  <c:v>4744.031090933765</c:v>
                </c:pt>
                <c:pt idx="47">
                  <c:v>5148.4054681321786</c:v>
                </c:pt>
                <c:pt idx="48">
                  <c:v>5483.8562995012935</c:v>
                </c:pt>
                <c:pt idx="49">
                  <c:v>5803.863469548266</c:v>
                </c:pt>
                <c:pt idx="50">
                  <c:v>5990.9636465042813</c:v>
                </c:pt>
                <c:pt idx="51">
                  <c:v>6202.8300845576132</c:v>
                </c:pt>
                <c:pt idx="52">
                  <c:v>6309.6836236989566</c:v>
                </c:pt>
                <c:pt idx="53">
                  <c:v>6782.1499604163018</c:v>
                </c:pt>
                <c:pt idx="54">
                  <c:v>7346.790682200889</c:v>
                </c:pt>
                <c:pt idx="55">
                  <c:v>8427.3108083345633</c:v>
                </c:pt>
                <c:pt idx="56">
                  <c:v>8524.6060910825108</c:v>
                </c:pt>
                <c:pt idx="57">
                  <c:v>8428.5008907713709</c:v>
                </c:pt>
                <c:pt idx="58">
                  <c:v>8482.9689747284592</c:v>
                </c:pt>
                <c:pt idx="59">
                  <c:v>8489.6404115853857</c:v>
                </c:pt>
                <c:pt idx="60">
                  <c:v>8531.6452141570608</c:v>
                </c:pt>
                <c:pt idx="61">
                  <c:v>7794.9964586776323</c:v>
                </c:pt>
                <c:pt idx="62">
                  <c:v>5775.0987630540722</c:v>
                </c:pt>
                <c:pt idx="63">
                  <c:v>5415.8177155154408</c:v>
                </c:pt>
                <c:pt idx="64">
                  <c:v>7229.4257132436678</c:v>
                </c:pt>
                <c:pt idx="65">
                  <c:v>6130.3628221868403</c:v>
                </c:pt>
                <c:pt idx="66">
                  <c:v>5990.0911911373196</c:v>
                </c:pt>
                <c:pt idx="67">
                  <c:v>5891.5824778537499</c:v>
                </c:pt>
                <c:pt idx="68">
                  <c:v>5814.04646150587</c:v>
                </c:pt>
                <c:pt idx="69">
                  <c:v>5738.8270964848898</c:v>
                </c:pt>
                <c:pt idx="70">
                  <c:v>5656.0578725669802</c:v>
                </c:pt>
                <c:pt idx="71">
                  <c:v>5568.4640085634301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4-4935-81D3-9F8613371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781568"/>
        <c:axId val="196783104"/>
      </c:lineChart>
      <c:catAx>
        <c:axId val="19678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6783104"/>
        <c:crosses val="autoZero"/>
        <c:auto val="1"/>
        <c:lblAlgn val="ctr"/>
        <c:lblOffset val="100"/>
        <c:noMultiLvlLbl val="0"/>
      </c:catAx>
      <c:valAx>
        <c:axId val="1967831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6781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834711790494219E-2"/>
          <c:y val="0.14753920443167903"/>
          <c:w val="0.94362404937371314"/>
          <c:h val="0.77840626476041697"/>
        </c:manualLayout>
      </c:layout>
      <c:lineChart>
        <c:grouping val="standard"/>
        <c:varyColors val="0"/>
        <c:ser>
          <c:idx val="0"/>
          <c:order val="0"/>
          <c:tx>
            <c:strRef>
              <c:f>'Gasto estructural'!$BF$2</c:f>
              <c:strCache>
                <c:ptCount val="1"/>
                <c:pt idx="0">
                  <c:v>Gasto Estructural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'Gasto estructural'!$BF$4:$BF$80</c:f>
              <c:numCache>
                <c:formatCode>0</c:formatCode>
                <c:ptCount val="72"/>
                <c:pt idx="0">
                  <c:v>3083.0709640297482</c:v>
                </c:pt>
                <c:pt idx="1">
                  <c:v>2956.3874788988942</c:v>
                </c:pt>
                <c:pt idx="2">
                  <c:v>3129.1093890915704</c:v>
                </c:pt>
                <c:pt idx="3">
                  <c:v>3856.8951602814477</c:v>
                </c:pt>
                <c:pt idx="4">
                  <c:v>3620.7495896655237</c:v>
                </c:pt>
                <c:pt idx="5">
                  <c:v>3949.5935718299611</c:v>
                </c:pt>
                <c:pt idx="6">
                  <c:v>3925.6605016921758</c:v>
                </c:pt>
                <c:pt idx="7">
                  <c:v>3995.9063310233882</c:v>
                </c:pt>
                <c:pt idx="8">
                  <c:v>3984.1060257134459</c:v>
                </c:pt>
                <c:pt idx="9">
                  <c:v>4195.2918712005712</c:v>
                </c:pt>
                <c:pt idx="10">
                  <c:v>4471.4962959133709</c:v>
                </c:pt>
                <c:pt idx="11">
                  <c:v>4719.5010949804773</c:v>
                </c:pt>
                <c:pt idx="12">
                  <c:v>4878.8909322369673</c:v>
                </c:pt>
                <c:pt idx="13">
                  <c:v>4851.5828981749246</c:v>
                </c:pt>
                <c:pt idx="14">
                  <c:v>5035.2561114317186</c:v>
                </c:pt>
                <c:pt idx="15">
                  <c:v>5016.7050075816578</c:v>
                </c:pt>
                <c:pt idx="16">
                  <c:v>5246.0575370993083</c:v>
                </c:pt>
                <c:pt idx="17">
                  <c:v>5332.9174665575711</c:v>
                </c:pt>
                <c:pt idx="18">
                  <c:v>5385.370361358061</c:v>
                </c:pt>
                <c:pt idx="19">
                  <c:v>5475.5818440222229</c:v>
                </c:pt>
                <c:pt idx="20">
                  <c:v>5616.029477535345</c:v>
                </c:pt>
                <c:pt idx="21">
                  <c:v>5700.8053792918017</c:v>
                </c:pt>
                <c:pt idx="22">
                  <c:v>5875.1509440559639</c:v>
                </c:pt>
                <c:pt idx="23">
                  <c:v>6186.8797534564856</c:v>
                </c:pt>
                <c:pt idx="24">
                  <c:v>6267.5004534485088</c:v>
                </c:pt>
                <c:pt idx="25">
                  <c:v>6534.4434995160691</c:v>
                </c:pt>
                <c:pt idx="26">
                  <c:v>6650.0938555062557</c:v>
                </c:pt>
                <c:pt idx="27">
                  <c:v>6944.3938614934159</c:v>
                </c:pt>
                <c:pt idx="28">
                  <c:v>7233.0659689932982</c:v>
                </c:pt>
                <c:pt idx="29">
                  <c:v>7541.88458608579</c:v>
                </c:pt>
                <c:pt idx="30">
                  <c:v>8553.1666244920125</c:v>
                </c:pt>
                <c:pt idx="31">
                  <c:v>8773.3375661945665</c:v>
                </c:pt>
                <c:pt idx="32">
                  <c:v>9705.4293845411194</c:v>
                </c:pt>
                <c:pt idx="33">
                  <c:v>10842.690709047421</c:v>
                </c:pt>
                <c:pt idx="34">
                  <c:v>11985.236996255355</c:v>
                </c:pt>
                <c:pt idx="35">
                  <c:v>12802.572619605615</c:v>
                </c:pt>
                <c:pt idx="36">
                  <c:v>14039.747684000844</c:v>
                </c:pt>
                <c:pt idx="37">
                  <c:v>15289.605320091605</c:v>
                </c:pt>
                <c:pt idx="38">
                  <c:v>13736.581079978801</c:v>
                </c:pt>
                <c:pt idx="39">
                  <c:v>13412.579410759783</c:v>
                </c:pt>
                <c:pt idx="40">
                  <c:v>13747.234130313775</c:v>
                </c:pt>
                <c:pt idx="41">
                  <c:v>15594.311311967631</c:v>
                </c:pt>
                <c:pt idx="42">
                  <c:v>15801.358565913722</c:v>
                </c:pt>
                <c:pt idx="43">
                  <c:v>16727.165136488849</c:v>
                </c:pt>
                <c:pt idx="44">
                  <c:v>17852.554263450686</c:v>
                </c:pt>
                <c:pt idx="45">
                  <c:v>17638.569609229336</c:v>
                </c:pt>
                <c:pt idx="46">
                  <c:v>18016.73444781786</c:v>
                </c:pt>
                <c:pt idx="47">
                  <c:v>18380.819468541624</c:v>
                </c:pt>
                <c:pt idx="48">
                  <c:v>18992.269126148327</c:v>
                </c:pt>
                <c:pt idx="49">
                  <c:v>19557.199396413565</c:v>
                </c:pt>
                <c:pt idx="50">
                  <c:v>20197.469809507566</c:v>
                </c:pt>
                <c:pt idx="51">
                  <c:v>21193.693093889942</c:v>
                </c:pt>
                <c:pt idx="52">
                  <c:v>21962.302815113435</c:v>
                </c:pt>
                <c:pt idx="53">
                  <c:v>22949.713715883714</c:v>
                </c:pt>
                <c:pt idx="54">
                  <c:v>24237.67746081284</c:v>
                </c:pt>
                <c:pt idx="55">
                  <c:v>25751.878955459324</c:v>
                </c:pt>
                <c:pt idx="56">
                  <c:v>26065.537482613356</c:v>
                </c:pt>
                <c:pt idx="57">
                  <c:v>26140.783101443201</c:v>
                </c:pt>
                <c:pt idx="58">
                  <c:v>26460.379980737263</c:v>
                </c:pt>
                <c:pt idx="59">
                  <c:v>26601.957713642587</c:v>
                </c:pt>
                <c:pt idx="60">
                  <c:v>27006.404350162087</c:v>
                </c:pt>
                <c:pt idx="61">
                  <c:v>27349.20330584162</c:v>
                </c:pt>
                <c:pt idx="62">
                  <c:v>25416.237729250701</c:v>
                </c:pt>
                <c:pt idx="63">
                  <c:v>25165.681300197099</c:v>
                </c:pt>
                <c:pt idx="64">
                  <c:v>24916.223827521</c:v>
                </c:pt>
                <c:pt idx="65">
                  <c:v>24584.358209655373</c:v>
                </c:pt>
                <c:pt idx="66">
                  <c:v>24272.79279483471</c:v>
                </c:pt>
                <c:pt idx="67">
                  <c:v>23770.088438493549</c:v>
                </c:pt>
                <c:pt idx="68">
                  <c:v>24124.490627843854</c:v>
                </c:pt>
                <c:pt idx="69">
                  <c:v>23997.645785375698</c:v>
                </c:pt>
                <c:pt idx="70">
                  <c:v>24036.173251590193</c:v>
                </c:pt>
                <c:pt idx="71">
                  <c:v>24585.946669921057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C9-4882-A87F-B32C2F6E6D50}"/>
            </c:ext>
          </c:extLst>
        </c:ser>
        <c:ser>
          <c:idx val="1"/>
          <c:order val="1"/>
          <c:tx>
            <c:strRef>
              <c:f>'Gasto estructural'!$BG$3</c:f>
              <c:strCache>
                <c:ptCount val="1"/>
                <c:pt idx="0">
                  <c:v>Gasto Observado (el de la 1ra columna de las otras tablas de la derecha)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'Gasto estructural'!$BG$4:$BG$80</c:f>
              <c:numCache>
                <c:formatCode>0</c:formatCode>
                <c:ptCount val="72"/>
                <c:pt idx="0">
                  <c:v>3011.9999999999995</c:v>
                </c:pt>
                <c:pt idx="1">
                  <c:v>2864.6000000000004</c:v>
                </c:pt>
                <c:pt idx="2">
                  <c:v>2959.6</c:v>
                </c:pt>
                <c:pt idx="3">
                  <c:v>3240.9</c:v>
                </c:pt>
                <c:pt idx="4">
                  <c:v>3624.2</c:v>
                </c:pt>
                <c:pt idx="5">
                  <c:v>3985.3</c:v>
                </c:pt>
                <c:pt idx="6">
                  <c:v>3923.5999999999995</c:v>
                </c:pt>
                <c:pt idx="7">
                  <c:v>4010.4999999999995</c:v>
                </c:pt>
                <c:pt idx="8">
                  <c:v>3993.0999999999995</c:v>
                </c:pt>
                <c:pt idx="9">
                  <c:v>4227.7999999999993</c:v>
                </c:pt>
                <c:pt idx="10">
                  <c:v>4525.5</c:v>
                </c:pt>
                <c:pt idx="11">
                  <c:v>4757.1000000000004</c:v>
                </c:pt>
                <c:pt idx="12">
                  <c:v>4894.5</c:v>
                </c:pt>
                <c:pt idx="13">
                  <c:v>4858</c:v>
                </c:pt>
                <c:pt idx="14">
                  <c:v>4969.7619999999997</c:v>
                </c:pt>
                <c:pt idx="15">
                  <c:v>4998.1788530047588</c:v>
                </c:pt>
                <c:pt idx="16">
                  <c:v>5157.0331152932185</c:v>
                </c:pt>
                <c:pt idx="17">
                  <c:v>5314.8951576968675</c:v>
                </c:pt>
                <c:pt idx="18">
                  <c:v>5393.9050453780883</c:v>
                </c:pt>
                <c:pt idx="19">
                  <c:v>5497.8099413455675</c:v>
                </c:pt>
                <c:pt idx="20">
                  <c:v>5660.7120763626226</c:v>
                </c:pt>
                <c:pt idx="21">
                  <c:v>5714.8123681087573</c:v>
                </c:pt>
                <c:pt idx="22">
                  <c:v>5904.7974783499694</c:v>
                </c:pt>
                <c:pt idx="23">
                  <c:v>6232.0812562840993</c:v>
                </c:pt>
                <c:pt idx="24">
                  <c:v>6271.8281593119173</c:v>
                </c:pt>
                <c:pt idx="25">
                  <c:v>6554.1030273975375</c:v>
                </c:pt>
                <c:pt idx="26">
                  <c:v>6671.8510276378411</c:v>
                </c:pt>
                <c:pt idx="27">
                  <c:v>7012.2720113853193</c:v>
                </c:pt>
                <c:pt idx="28">
                  <c:v>7237.3923282788401</c:v>
                </c:pt>
                <c:pt idx="29">
                  <c:v>7452.8385244212923</c:v>
                </c:pt>
                <c:pt idx="30">
                  <c:v>8151.8371933500803</c:v>
                </c:pt>
                <c:pt idx="31">
                  <c:v>8626.5758833602267</c:v>
                </c:pt>
                <c:pt idx="32">
                  <c:v>9556.6973362210501</c:v>
                </c:pt>
                <c:pt idx="33">
                  <c:v>10840.044588025468</c:v>
                </c:pt>
                <c:pt idx="34">
                  <c:v>12208.907180537595</c:v>
                </c:pt>
                <c:pt idx="35">
                  <c:v>14413.861656607525</c:v>
                </c:pt>
                <c:pt idx="36">
                  <c:v>14474.418564818867</c:v>
                </c:pt>
                <c:pt idx="37">
                  <c:v>14570.653957401322</c:v>
                </c:pt>
                <c:pt idx="38">
                  <c:v>14050.578085127667</c:v>
                </c:pt>
                <c:pt idx="39">
                  <c:v>13597.703797303748</c:v>
                </c:pt>
                <c:pt idx="40">
                  <c:v>13674.172459011686</c:v>
                </c:pt>
                <c:pt idx="41">
                  <c:v>14637.770155905864</c:v>
                </c:pt>
                <c:pt idx="42">
                  <c:v>15260.035381126898</c:v>
                </c:pt>
                <c:pt idx="43">
                  <c:v>16266.456815296338</c:v>
                </c:pt>
                <c:pt idx="44">
                  <c:v>17478.979587484115</c:v>
                </c:pt>
                <c:pt idx="45">
                  <c:v>17630.744542142227</c:v>
                </c:pt>
                <c:pt idx="46">
                  <c:v>18076.477946096424</c:v>
                </c:pt>
                <c:pt idx="47">
                  <c:v>18434.75597669429</c:v>
                </c:pt>
                <c:pt idx="48">
                  <c:v>19102.702069753308</c:v>
                </c:pt>
                <c:pt idx="49">
                  <c:v>19661.465514872376</c:v>
                </c:pt>
                <c:pt idx="50">
                  <c:v>20265.581464555649</c:v>
                </c:pt>
                <c:pt idx="51">
                  <c:v>21225.553071946044</c:v>
                </c:pt>
                <c:pt idx="52">
                  <c:v>21860.086840254382</c:v>
                </c:pt>
                <c:pt idx="53">
                  <c:v>22746.078380876021</c:v>
                </c:pt>
                <c:pt idx="54">
                  <c:v>24173.872396546569</c:v>
                </c:pt>
                <c:pt idx="55">
                  <c:v>25861.2747497091</c:v>
                </c:pt>
                <c:pt idx="56">
                  <c:v>26081.440922396534</c:v>
                </c:pt>
                <c:pt idx="57">
                  <c:v>26153.183909602347</c:v>
                </c:pt>
                <c:pt idx="58">
                  <c:v>26606.474261772273</c:v>
                </c:pt>
                <c:pt idx="59">
                  <c:v>26793.86498189807</c:v>
                </c:pt>
                <c:pt idx="60">
                  <c:v>26644.59274230916</c:v>
                </c:pt>
                <c:pt idx="61">
                  <c:v>26823.125557054642</c:v>
                </c:pt>
                <c:pt idx="62">
                  <c:v>25462.758851976312</c:v>
                </c:pt>
                <c:pt idx="63">
                  <c:v>24149.130802978212</c:v>
                </c:pt>
                <c:pt idx="64">
                  <c:v>23650.190004663418</c:v>
                </c:pt>
                <c:pt idx="65">
                  <c:v>22728.892393584272</c:v>
                </c:pt>
                <c:pt idx="66">
                  <c:v>23305.404994046105</c:v>
                </c:pt>
                <c:pt idx="67">
                  <c:v>24102.605392734709</c:v>
                </c:pt>
                <c:pt idx="68">
                  <c:v>24841.073551840611</c:v>
                </c:pt>
                <c:pt idx="69">
                  <c:v>25213.35343820331</c:v>
                </c:pt>
                <c:pt idx="70">
                  <c:v>24226.812814013458</c:v>
                </c:pt>
                <c:pt idx="71">
                  <c:v>24310.489623830752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9-4882-A87F-B32C2F6E6D50}"/>
            </c:ext>
          </c:extLst>
        </c:ser>
        <c:ser>
          <c:idx val="2"/>
          <c:order val="2"/>
          <c:tx>
            <c:strRef>
              <c:f>'Gasto estructural'!$AW$3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'Gasto estructural'!$AW$4:$AW$80</c:f>
              <c:numCache>
                <c:formatCode>0</c:formatCode>
                <c:ptCount val="72"/>
                <c:pt idx="0">
                  <c:v>3367.5212341923798</c:v>
                </c:pt>
                <c:pt idx="1">
                  <c:v>3360.0507385699598</c:v>
                </c:pt>
                <c:pt idx="2">
                  <c:v>3390.59066738929</c:v>
                </c:pt>
                <c:pt idx="3">
                  <c:v>3457.2279294283799</c:v>
                </c:pt>
                <c:pt idx="4">
                  <c:v>3553.7435267913802</c:v>
                </c:pt>
                <c:pt idx="5">
                  <c:v>3671.7561822881198</c:v>
                </c:pt>
                <c:pt idx="6">
                  <c:v>3803.58718346055</c:v>
                </c:pt>
                <c:pt idx="7">
                  <c:v>3944.6902560277199</c:v>
                </c:pt>
                <c:pt idx="8">
                  <c:v>4091.5532538740599</c:v>
                </c:pt>
                <c:pt idx="9">
                  <c:v>4241.1571283237599</c:v>
                </c:pt>
                <c:pt idx="10">
                  <c:v>4389.3272981622504</c:v>
                </c:pt>
                <c:pt idx="11">
                  <c:v>4531.58761089171</c:v>
                </c:pt>
                <c:pt idx="12">
                  <c:v>4664.82864103272</c:v>
                </c:pt>
                <c:pt idx="13">
                  <c:v>4788.1950869969196</c:v>
                </c:pt>
                <c:pt idx="14">
                  <c:v>4903.1333607856204</c:v>
                </c:pt>
                <c:pt idx="15">
                  <c:v>5011.7879235301898</c:v>
                </c:pt>
                <c:pt idx="16">
                  <c:v>5116.9719027541196</c:v>
                </c:pt>
                <c:pt idx="17">
                  <c:v>5221.36054674559</c:v>
                </c:pt>
                <c:pt idx="18">
                  <c:v>5328.0293847652702</c:v>
                </c:pt>
                <c:pt idx="19">
                  <c:v>5440.9903406063404</c:v>
                </c:pt>
                <c:pt idx="20">
                  <c:v>5564.91504421434</c:v>
                </c:pt>
                <c:pt idx="21">
                  <c:v>5705.0452221287396</c:v>
                </c:pt>
                <c:pt idx="22">
                  <c:v>5867.5834504468903</c:v>
                </c:pt>
                <c:pt idx="23">
                  <c:v>6058.8318530448196</c:v>
                </c:pt>
                <c:pt idx="24">
                  <c:v>6285.4667192941097</c:v>
                </c:pt>
                <c:pt idx="25">
                  <c:v>6555.8960200358897</c:v>
                </c:pt>
                <c:pt idx="26">
                  <c:v>6878.3930589183601</c:v>
                </c:pt>
                <c:pt idx="27">
                  <c:v>7261.2121793893302</c:v>
                </c:pt>
                <c:pt idx="28">
                  <c:v>7710.5437943074703</c:v>
                </c:pt>
                <c:pt idx="29">
                  <c:v>8230.0861947375397</c:v>
                </c:pt>
                <c:pt idx="30">
                  <c:v>8818.8022338012197</c:v>
                </c:pt>
                <c:pt idx="31">
                  <c:v>9467.8839026728201</c:v>
                </c:pt>
                <c:pt idx="32">
                  <c:v>10161.855170188601</c:v>
                </c:pt>
                <c:pt idx="33">
                  <c:v>10876.831166158199</c:v>
                </c:pt>
                <c:pt idx="34">
                  <c:v>11582.8784686893</c:v>
                </c:pt>
                <c:pt idx="35">
                  <c:v>12249.695344228099</c:v>
                </c:pt>
                <c:pt idx="36">
                  <c:v>12853.241274533601</c:v>
                </c:pt>
                <c:pt idx="37">
                  <c:v>13391.1187879228</c:v>
                </c:pt>
                <c:pt idx="38">
                  <c:v>13877.137999967401</c:v>
                </c:pt>
                <c:pt idx="39">
                  <c:v>14336.907838359601</c:v>
                </c:pt>
                <c:pt idx="40">
                  <c:v>14797.775850792201</c:v>
                </c:pt>
                <c:pt idx="41">
                  <c:v>15279.7005065742</c:v>
                </c:pt>
                <c:pt idx="42">
                  <c:v>15791.4025165068</c:v>
                </c:pt>
                <c:pt idx="43">
                  <c:v>16335.1855863254</c:v>
                </c:pt>
                <c:pt idx="44">
                  <c:v>16908.039396600401</c:v>
                </c:pt>
                <c:pt idx="45">
                  <c:v>17506.261772038801</c:v>
                </c:pt>
                <c:pt idx="46">
                  <c:v>18131.8601433818</c:v>
                </c:pt>
                <c:pt idx="47">
                  <c:v>18788.0893236501</c:v>
                </c:pt>
                <c:pt idx="48">
                  <c:v>19477.6455244305</c:v>
                </c:pt>
                <c:pt idx="49">
                  <c:v>20199.694064073599</c:v>
                </c:pt>
                <c:pt idx="50">
                  <c:v>20949.653805685299</c:v>
                </c:pt>
                <c:pt idx="51">
                  <c:v>21717.556671731101</c:v>
                </c:pt>
                <c:pt idx="52">
                  <c:v>22486.598046619401</c:v>
                </c:pt>
                <c:pt idx="53">
                  <c:v>23235.057748041501</c:v>
                </c:pt>
                <c:pt idx="54">
                  <c:v>23934.949613222299</c:v>
                </c:pt>
                <c:pt idx="55">
                  <c:v>24553.396901906501</c:v>
                </c:pt>
                <c:pt idx="56">
                  <c:v>25059.9133777063</c:v>
                </c:pt>
                <c:pt idx="57">
                  <c:v>25437.0888352152</c:v>
                </c:pt>
                <c:pt idx="58">
                  <c:v>25677.723935249302</c:v>
                </c:pt>
                <c:pt idx="59">
                  <c:v>25781.778450272799</c:v>
                </c:pt>
                <c:pt idx="60">
                  <c:v>25758.494913397299</c:v>
                </c:pt>
                <c:pt idx="61">
                  <c:v>25627.238073231601</c:v>
                </c:pt>
                <c:pt idx="62">
                  <c:v>25416.237729250701</c:v>
                </c:pt>
                <c:pt idx="63">
                  <c:v>25165.681300197099</c:v>
                </c:pt>
                <c:pt idx="64">
                  <c:v>24916.223827521</c:v>
                </c:pt>
                <c:pt idx="65">
                  <c:v>24698.353539670501</c:v>
                </c:pt>
                <c:pt idx="66">
                  <c:v>24529.896426818399</c:v>
                </c:pt>
                <c:pt idx="67">
                  <c:v>24408.984943741099</c:v>
                </c:pt>
                <c:pt idx="68">
                  <c:v>24321.502580946501</c:v>
                </c:pt>
                <c:pt idx="69">
                  <c:v>24250.272979505298</c:v>
                </c:pt>
                <c:pt idx="70">
                  <c:v>24183.3147546787</c:v>
                </c:pt>
                <c:pt idx="71">
                  <c:v>24118.273791932701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C9-4882-A87F-B32C2F6E6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814336"/>
        <c:axId val="196815872"/>
      </c:lineChart>
      <c:catAx>
        <c:axId val="19681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6815872"/>
        <c:crosses val="autoZero"/>
        <c:auto val="1"/>
        <c:lblAlgn val="ctr"/>
        <c:lblOffset val="100"/>
        <c:noMultiLvlLbl val="0"/>
      </c:catAx>
      <c:valAx>
        <c:axId val="19681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9681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1.emf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image" Target="../media/image4.emf"/><Relationship Id="rId7" Type="http://schemas.openxmlformats.org/officeDocument/2006/relationships/image" Target="../media/image8.emf"/><Relationship Id="rId12" Type="http://schemas.openxmlformats.org/officeDocument/2006/relationships/image" Target="../media/image13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11" Type="http://schemas.openxmlformats.org/officeDocument/2006/relationships/image" Target="../media/image12.emf"/><Relationship Id="rId5" Type="http://schemas.openxmlformats.org/officeDocument/2006/relationships/image" Target="../media/image6.emf"/><Relationship Id="rId10" Type="http://schemas.openxmlformats.org/officeDocument/2006/relationships/image" Target="../media/image11.emf"/><Relationship Id="rId4" Type="http://schemas.openxmlformats.org/officeDocument/2006/relationships/image" Target="../media/image5.emf"/><Relationship Id="rId9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6.emf"/><Relationship Id="rId2" Type="http://schemas.openxmlformats.org/officeDocument/2006/relationships/image" Target="../media/image15.emf"/><Relationship Id="rId1" Type="http://schemas.openxmlformats.org/officeDocument/2006/relationships/image" Target="../media/image14.emf"/><Relationship Id="rId5" Type="http://schemas.openxmlformats.org/officeDocument/2006/relationships/image" Target="../media/image18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image" Target="../media/image13.emf"/><Relationship Id="rId7" Type="http://schemas.openxmlformats.org/officeDocument/2006/relationships/image" Target="../media/image2.emf"/><Relationship Id="rId2" Type="http://schemas.openxmlformats.org/officeDocument/2006/relationships/image" Target="../media/image20.emf"/><Relationship Id="rId1" Type="http://schemas.openxmlformats.org/officeDocument/2006/relationships/image" Target="../media/image19.emf"/><Relationship Id="rId6" Type="http://schemas.openxmlformats.org/officeDocument/2006/relationships/image" Target="../media/image15.emf"/><Relationship Id="rId5" Type="http://schemas.openxmlformats.org/officeDocument/2006/relationships/image" Target="../media/image14.emf"/><Relationship Id="rId10" Type="http://schemas.openxmlformats.org/officeDocument/2006/relationships/image" Target="../media/image18.emf"/><Relationship Id="rId4" Type="http://schemas.openxmlformats.org/officeDocument/2006/relationships/image" Target="../media/image12.emf"/><Relationship Id="rId9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1</xdr:row>
          <xdr:rowOff>219075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876300</xdr:colOff>
      <xdr:row>3</xdr:row>
      <xdr:rowOff>33337</xdr:rowOff>
    </xdr:from>
    <xdr:to>
      <xdr:col>10</xdr:col>
      <xdr:colOff>114299</xdr:colOff>
      <xdr:row>12</xdr:row>
      <xdr:rowOff>33337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</xdr:row>
          <xdr:rowOff>409575</xdr:rowOff>
        </xdr:from>
        <xdr:to>
          <xdr:col>15</xdr:col>
          <xdr:colOff>9525</xdr:colOff>
          <xdr:row>1</xdr:row>
          <xdr:rowOff>409575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238125</xdr:colOff>
          <xdr:row>1</xdr:row>
          <xdr:rowOff>76200</xdr:rowOff>
        </xdr:from>
        <xdr:to>
          <xdr:col>13</xdr:col>
          <xdr:colOff>57150</xdr:colOff>
          <xdr:row>1</xdr:row>
          <xdr:rowOff>485775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247650</xdr:colOff>
          <xdr:row>1</xdr:row>
          <xdr:rowOff>76200</xdr:rowOff>
        </xdr:from>
        <xdr:to>
          <xdr:col>15</xdr:col>
          <xdr:colOff>171450</xdr:colOff>
          <xdr:row>1</xdr:row>
          <xdr:rowOff>438150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1</xdr:row>
          <xdr:rowOff>161925</xdr:rowOff>
        </xdr:from>
        <xdr:to>
          <xdr:col>18</xdr:col>
          <xdr:colOff>561975</xdr:colOff>
          <xdr:row>1</xdr:row>
          <xdr:rowOff>514350</xdr:rowOff>
        </xdr:to>
        <xdr:sp macro="" textlink="">
          <xdr:nvSpPr>
            <xdr:cNvPr id="2066" name="Object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</xdr:row>
          <xdr:rowOff>142875</xdr:rowOff>
        </xdr:from>
        <xdr:to>
          <xdr:col>19</xdr:col>
          <xdr:colOff>581025</xdr:colOff>
          <xdr:row>1</xdr:row>
          <xdr:rowOff>514350</xdr:rowOff>
        </xdr:to>
        <xdr:sp macro="" textlink="">
          <xdr:nvSpPr>
            <xdr:cNvPr id="2067" name="Object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</xdr:row>
          <xdr:rowOff>76200</xdr:rowOff>
        </xdr:from>
        <xdr:to>
          <xdr:col>20</xdr:col>
          <xdr:colOff>1133475</xdr:colOff>
          <xdr:row>2</xdr:row>
          <xdr:rowOff>66675</xdr:rowOff>
        </xdr:to>
        <xdr:sp macro="" textlink="">
          <xdr:nvSpPr>
            <xdr:cNvPr id="2068" name="Object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</xdr:row>
          <xdr:rowOff>257175</xdr:rowOff>
        </xdr:from>
        <xdr:to>
          <xdr:col>25</xdr:col>
          <xdr:colOff>0</xdr:colOff>
          <xdr:row>1</xdr:row>
          <xdr:rowOff>266700</xdr:rowOff>
        </xdr:to>
        <xdr:sp macro="" textlink="">
          <xdr:nvSpPr>
            <xdr:cNvPr id="2071" name="Object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142875</xdr:colOff>
          <xdr:row>1</xdr:row>
          <xdr:rowOff>342900</xdr:rowOff>
        </xdr:from>
        <xdr:to>
          <xdr:col>26</xdr:col>
          <xdr:colOff>0</xdr:colOff>
          <xdr:row>2</xdr:row>
          <xdr:rowOff>76200</xdr:rowOff>
        </xdr:to>
        <xdr:sp macro="" textlink="">
          <xdr:nvSpPr>
            <xdr:cNvPr id="2072" name="Object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</xdr:row>
          <xdr:rowOff>200025</xdr:rowOff>
        </xdr:from>
        <xdr:to>
          <xdr:col>27</xdr:col>
          <xdr:colOff>0</xdr:colOff>
          <xdr:row>2</xdr:row>
          <xdr:rowOff>76200</xdr:rowOff>
        </xdr:to>
        <xdr:sp macro="" textlink="">
          <xdr:nvSpPr>
            <xdr:cNvPr id="2073" name="Object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</xdr:row>
          <xdr:rowOff>47625</xdr:rowOff>
        </xdr:from>
        <xdr:to>
          <xdr:col>25</xdr:col>
          <xdr:colOff>9525</xdr:colOff>
          <xdr:row>2</xdr:row>
          <xdr:rowOff>19050</xdr:rowOff>
        </xdr:to>
        <xdr:sp macro="" textlink="">
          <xdr:nvSpPr>
            <xdr:cNvPr id="2074" name="Object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0</xdr:colOff>
          <xdr:row>0</xdr:row>
          <xdr:rowOff>0</xdr:rowOff>
        </xdr:from>
        <xdr:to>
          <xdr:col>39</xdr:col>
          <xdr:colOff>0</xdr:colOff>
          <xdr:row>0</xdr:row>
          <xdr:rowOff>0</xdr:rowOff>
        </xdr:to>
        <xdr:sp macro="" textlink="">
          <xdr:nvSpPr>
            <xdr:cNvPr id="2084" name="Object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</xdr:row>
          <xdr:rowOff>238125</xdr:rowOff>
        </xdr:from>
        <xdr:to>
          <xdr:col>31</xdr:col>
          <xdr:colOff>666750</xdr:colOff>
          <xdr:row>1</xdr:row>
          <xdr:rowOff>523875</xdr:rowOff>
        </xdr:to>
        <xdr:sp macro="" textlink="">
          <xdr:nvSpPr>
            <xdr:cNvPr id="2091" name="Object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276225</xdr:colOff>
          <xdr:row>1</xdr:row>
          <xdr:rowOff>419100</xdr:rowOff>
        </xdr:from>
        <xdr:to>
          <xdr:col>33</xdr:col>
          <xdr:colOff>0</xdr:colOff>
          <xdr:row>2</xdr:row>
          <xdr:rowOff>76200</xdr:rowOff>
        </xdr:to>
        <xdr:sp macro="" textlink="">
          <xdr:nvSpPr>
            <xdr:cNvPr id="2092" name="Object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</xdr:row>
          <xdr:rowOff>200025</xdr:rowOff>
        </xdr:from>
        <xdr:to>
          <xdr:col>31</xdr:col>
          <xdr:colOff>0</xdr:colOff>
          <xdr:row>2</xdr:row>
          <xdr:rowOff>76200</xdr:rowOff>
        </xdr:to>
        <xdr:sp macro="" textlink="">
          <xdr:nvSpPr>
            <xdr:cNvPr id="2094" name="Object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47625</xdr:colOff>
          <xdr:row>1</xdr:row>
          <xdr:rowOff>228600</xdr:rowOff>
        </xdr:from>
        <xdr:to>
          <xdr:col>37</xdr:col>
          <xdr:colOff>0</xdr:colOff>
          <xdr:row>2</xdr:row>
          <xdr:rowOff>76200</xdr:rowOff>
        </xdr:to>
        <xdr:sp macro="" textlink="">
          <xdr:nvSpPr>
            <xdr:cNvPr id="2095" name="Object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76200</xdr:colOff>
          <xdr:row>1</xdr:row>
          <xdr:rowOff>238125</xdr:rowOff>
        </xdr:from>
        <xdr:to>
          <xdr:col>38</xdr:col>
          <xdr:colOff>0</xdr:colOff>
          <xdr:row>2</xdr:row>
          <xdr:rowOff>76200</xdr:rowOff>
        </xdr:to>
        <xdr:sp macro="" textlink="">
          <xdr:nvSpPr>
            <xdr:cNvPr id="2096" name="Object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47625</xdr:colOff>
          <xdr:row>1</xdr:row>
          <xdr:rowOff>228600</xdr:rowOff>
        </xdr:from>
        <xdr:to>
          <xdr:col>43</xdr:col>
          <xdr:colOff>0</xdr:colOff>
          <xdr:row>2</xdr:row>
          <xdr:rowOff>76200</xdr:rowOff>
        </xdr:to>
        <xdr:sp macro="" textlink="">
          <xdr:nvSpPr>
            <xdr:cNvPr id="2097" name="Object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142875</xdr:colOff>
          <xdr:row>1</xdr:row>
          <xdr:rowOff>161925</xdr:rowOff>
        </xdr:from>
        <xdr:to>
          <xdr:col>44</xdr:col>
          <xdr:colOff>0</xdr:colOff>
          <xdr:row>2</xdr:row>
          <xdr:rowOff>76200</xdr:rowOff>
        </xdr:to>
        <xdr:sp macro="" textlink="">
          <xdr:nvSpPr>
            <xdr:cNvPr id="2098" name="Object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1</xdr:row>
          <xdr:rowOff>352425</xdr:rowOff>
        </xdr:from>
        <xdr:to>
          <xdr:col>45</xdr:col>
          <xdr:colOff>0</xdr:colOff>
          <xdr:row>2</xdr:row>
          <xdr:rowOff>76200</xdr:rowOff>
        </xdr:to>
        <xdr:sp macro="" textlink="">
          <xdr:nvSpPr>
            <xdr:cNvPr id="2100" name="Object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104775</xdr:colOff>
          <xdr:row>1</xdr:row>
          <xdr:rowOff>352425</xdr:rowOff>
        </xdr:from>
        <xdr:to>
          <xdr:col>39</xdr:col>
          <xdr:colOff>0</xdr:colOff>
          <xdr:row>2</xdr:row>
          <xdr:rowOff>76200</xdr:rowOff>
        </xdr:to>
        <xdr:sp macro="" textlink="">
          <xdr:nvSpPr>
            <xdr:cNvPr id="2101" name="Object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47625</xdr:colOff>
          <xdr:row>1</xdr:row>
          <xdr:rowOff>228600</xdr:rowOff>
        </xdr:from>
        <xdr:to>
          <xdr:col>49</xdr:col>
          <xdr:colOff>0</xdr:colOff>
          <xdr:row>2</xdr:row>
          <xdr:rowOff>76200</xdr:rowOff>
        </xdr:to>
        <xdr:sp macro="" textlink="">
          <xdr:nvSpPr>
            <xdr:cNvPr id="2102" name="Object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276225</xdr:colOff>
          <xdr:row>1</xdr:row>
          <xdr:rowOff>381000</xdr:rowOff>
        </xdr:from>
        <xdr:to>
          <xdr:col>51</xdr:col>
          <xdr:colOff>0</xdr:colOff>
          <xdr:row>2</xdr:row>
          <xdr:rowOff>76200</xdr:rowOff>
        </xdr:to>
        <xdr:sp macro="" textlink="">
          <xdr:nvSpPr>
            <xdr:cNvPr id="2104" name="Object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219075</xdr:colOff>
          <xdr:row>1</xdr:row>
          <xdr:rowOff>257175</xdr:rowOff>
        </xdr:from>
        <xdr:to>
          <xdr:col>50</xdr:col>
          <xdr:colOff>0</xdr:colOff>
          <xdr:row>2</xdr:row>
          <xdr:rowOff>76200</xdr:rowOff>
        </xdr:to>
        <xdr:sp macro="" textlink="">
          <xdr:nvSpPr>
            <xdr:cNvPr id="2106" name="Object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123825</xdr:colOff>
          <xdr:row>1</xdr:row>
          <xdr:rowOff>238125</xdr:rowOff>
        </xdr:from>
        <xdr:to>
          <xdr:col>55</xdr:col>
          <xdr:colOff>0</xdr:colOff>
          <xdr:row>2</xdr:row>
          <xdr:rowOff>76200</xdr:rowOff>
        </xdr:to>
        <xdr:sp macro="" textlink="">
          <xdr:nvSpPr>
            <xdr:cNvPr id="2107" name="Object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95250</xdr:colOff>
          <xdr:row>1</xdr:row>
          <xdr:rowOff>28575</xdr:rowOff>
        </xdr:from>
        <xdr:to>
          <xdr:col>56</xdr:col>
          <xdr:colOff>19050</xdr:colOff>
          <xdr:row>1</xdr:row>
          <xdr:rowOff>438150</xdr:rowOff>
        </xdr:to>
        <xdr:sp macro="" textlink="">
          <xdr:nvSpPr>
            <xdr:cNvPr id="2109" name="Object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342900</xdr:colOff>
          <xdr:row>1</xdr:row>
          <xdr:rowOff>457200</xdr:rowOff>
        </xdr:from>
        <xdr:to>
          <xdr:col>57</xdr:col>
          <xdr:colOff>0</xdr:colOff>
          <xdr:row>2</xdr:row>
          <xdr:rowOff>76200</xdr:rowOff>
        </xdr:to>
        <xdr:sp macro="" textlink="">
          <xdr:nvSpPr>
            <xdr:cNvPr id="2111" name="Object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68</xdr:col>
      <xdr:colOff>690563</xdr:colOff>
      <xdr:row>53</xdr:row>
      <xdr:rowOff>59532</xdr:rowOff>
    </xdr:from>
    <xdr:to>
      <xdr:col>81</xdr:col>
      <xdr:colOff>428625</xdr:colOff>
      <xdr:row>78</xdr:row>
      <xdr:rowOff>64303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371476</xdr:colOff>
      <xdr:row>84</xdr:row>
      <xdr:rowOff>35717</xdr:rowOff>
    </xdr:from>
    <xdr:to>
      <xdr:col>40</xdr:col>
      <xdr:colOff>38101</xdr:colOff>
      <xdr:row>99</xdr:row>
      <xdr:rowOff>142875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220264</xdr:colOff>
      <xdr:row>85</xdr:row>
      <xdr:rowOff>59530</xdr:rowOff>
    </xdr:from>
    <xdr:to>
      <xdr:col>44</xdr:col>
      <xdr:colOff>535782</xdr:colOff>
      <xdr:row>103</xdr:row>
      <xdr:rowOff>190499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232171</xdr:colOff>
      <xdr:row>83</xdr:row>
      <xdr:rowOff>104774</xdr:rowOff>
    </xdr:from>
    <xdr:to>
      <xdr:col>51</xdr:col>
      <xdr:colOff>83344</xdr:colOff>
      <xdr:row>102</xdr:row>
      <xdr:rowOff>11905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398857</xdr:colOff>
      <xdr:row>92</xdr:row>
      <xdr:rowOff>78581</xdr:rowOff>
    </xdr:from>
    <xdr:to>
      <xdr:col>61</xdr:col>
      <xdr:colOff>390524</xdr:colOff>
      <xdr:row>112</xdr:row>
      <xdr:rowOff>164307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</xdr:row>
          <xdr:rowOff>0</xdr:rowOff>
        </xdr:from>
        <xdr:to>
          <xdr:col>9</xdr:col>
          <xdr:colOff>476250</xdr:colOff>
          <xdr:row>11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11</xdr:row>
          <xdr:rowOff>0</xdr:rowOff>
        </xdr:from>
        <xdr:to>
          <xdr:col>11</xdr:col>
          <xdr:colOff>762000</xdr:colOff>
          <xdr:row>11</xdr:row>
          <xdr:rowOff>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11</xdr:row>
          <xdr:rowOff>0</xdr:rowOff>
        </xdr:from>
        <xdr:to>
          <xdr:col>15</xdr:col>
          <xdr:colOff>542925</xdr:colOff>
          <xdr:row>11</xdr:row>
          <xdr:rowOff>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11</xdr:row>
          <xdr:rowOff>0</xdr:rowOff>
        </xdr:from>
        <xdr:to>
          <xdr:col>17</xdr:col>
          <xdr:colOff>762000</xdr:colOff>
          <xdr:row>11</xdr:row>
          <xdr:rowOff>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0</xdr:rowOff>
        </xdr:from>
        <xdr:to>
          <xdr:col>6</xdr:col>
          <xdr:colOff>504825</xdr:colOff>
          <xdr:row>11</xdr:row>
          <xdr:rowOff>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57150</xdr:colOff>
      <xdr:row>2</xdr:row>
      <xdr:rowOff>323849</xdr:rowOff>
    </xdr:from>
    <xdr:to>
      <xdr:col>47</xdr:col>
      <xdr:colOff>685800</xdr:colOff>
      <xdr:row>8</xdr:row>
      <xdr:rowOff>139796</xdr:rowOff>
    </xdr:to>
    <xdr:pic>
      <xdr:nvPicPr>
        <xdr:cNvPr id="25" name="Picture 5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405550" y="704849"/>
          <a:ext cx="62865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</xdr:row>
          <xdr:rowOff>133350</xdr:rowOff>
        </xdr:from>
        <xdr:to>
          <xdr:col>3</xdr:col>
          <xdr:colOff>609600</xdr:colOff>
          <xdr:row>2</xdr:row>
          <xdr:rowOff>104775</xdr:rowOff>
        </xdr:to>
        <xdr:sp macro="" textlink="">
          <xdr:nvSpPr>
            <xdr:cNvPr id="3099" name="Object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</xdr:row>
          <xdr:rowOff>161925</xdr:rowOff>
        </xdr:from>
        <xdr:to>
          <xdr:col>5</xdr:col>
          <xdr:colOff>628650</xdr:colOff>
          <xdr:row>2</xdr:row>
          <xdr:rowOff>400050</xdr:rowOff>
        </xdr:to>
        <xdr:sp macro="" textlink="">
          <xdr:nvSpPr>
            <xdr:cNvPr id="3100" name="Object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2</xdr:row>
          <xdr:rowOff>438150</xdr:rowOff>
        </xdr:from>
        <xdr:to>
          <xdr:col>23</xdr:col>
          <xdr:colOff>781050</xdr:colOff>
          <xdr:row>9</xdr:row>
          <xdr:rowOff>180975</xdr:rowOff>
        </xdr:to>
        <xdr:sp macro="" textlink="">
          <xdr:nvSpPr>
            <xdr:cNvPr id="3104" name="Object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</xdr:colOff>
          <xdr:row>2</xdr:row>
          <xdr:rowOff>419100</xdr:rowOff>
        </xdr:from>
        <xdr:to>
          <xdr:col>30</xdr:col>
          <xdr:colOff>0</xdr:colOff>
          <xdr:row>8</xdr:row>
          <xdr:rowOff>152400</xdr:rowOff>
        </xdr:to>
        <xdr:sp macro="" textlink="">
          <xdr:nvSpPr>
            <xdr:cNvPr id="3106" name="Object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2</xdr:row>
          <xdr:rowOff>219075</xdr:rowOff>
        </xdr:from>
        <xdr:to>
          <xdr:col>27</xdr:col>
          <xdr:colOff>771525</xdr:colOff>
          <xdr:row>8</xdr:row>
          <xdr:rowOff>9525</xdr:rowOff>
        </xdr:to>
        <xdr:sp macro="" textlink="">
          <xdr:nvSpPr>
            <xdr:cNvPr id="3107" name="Object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47625</xdr:colOff>
          <xdr:row>2</xdr:row>
          <xdr:rowOff>228600</xdr:rowOff>
        </xdr:from>
        <xdr:to>
          <xdr:col>35</xdr:col>
          <xdr:colOff>1019175</xdr:colOff>
          <xdr:row>8</xdr:row>
          <xdr:rowOff>142875</xdr:rowOff>
        </xdr:to>
        <xdr:sp macro="" textlink="">
          <xdr:nvSpPr>
            <xdr:cNvPr id="3108" name="Object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</xdr:colOff>
          <xdr:row>2</xdr:row>
          <xdr:rowOff>257175</xdr:rowOff>
        </xdr:from>
        <xdr:to>
          <xdr:col>34</xdr:col>
          <xdr:colOff>0</xdr:colOff>
          <xdr:row>8</xdr:row>
          <xdr:rowOff>95250</xdr:rowOff>
        </xdr:to>
        <xdr:sp macro="" textlink="">
          <xdr:nvSpPr>
            <xdr:cNvPr id="3109" name="Object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2</xdr:row>
          <xdr:rowOff>200025</xdr:rowOff>
        </xdr:from>
        <xdr:to>
          <xdr:col>41</xdr:col>
          <xdr:colOff>1019175</xdr:colOff>
          <xdr:row>8</xdr:row>
          <xdr:rowOff>152400</xdr:rowOff>
        </xdr:to>
        <xdr:sp macro="" textlink="">
          <xdr:nvSpPr>
            <xdr:cNvPr id="3110" name="Object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2</xdr:row>
          <xdr:rowOff>209550</xdr:rowOff>
        </xdr:from>
        <xdr:to>
          <xdr:col>39</xdr:col>
          <xdr:colOff>781050</xdr:colOff>
          <xdr:row>8</xdr:row>
          <xdr:rowOff>47625</xdr:rowOff>
        </xdr:to>
        <xdr:sp macro="" textlink="">
          <xdr:nvSpPr>
            <xdr:cNvPr id="3111" name="Object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2</xdr:row>
          <xdr:rowOff>123825</xdr:rowOff>
        </xdr:from>
        <xdr:to>
          <xdr:col>9</xdr:col>
          <xdr:colOff>581025</xdr:colOff>
          <xdr:row>2</xdr:row>
          <xdr:rowOff>381000</xdr:rowOff>
        </xdr:to>
        <xdr:sp macro="" textlink="">
          <xdr:nvSpPr>
            <xdr:cNvPr id="3114" name="Object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</xdr:row>
          <xdr:rowOff>419100</xdr:rowOff>
        </xdr:from>
        <xdr:to>
          <xdr:col>12</xdr:col>
          <xdr:colOff>0</xdr:colOff>
          <xdr:row>10</xdr:row>
          <xdr:rowOff>133350</xdr:rowOff>
        </xdr:to>
        <xdr:sp macro="" textlink="">
          <xdr:nvSpPr>
            <xdr:cNvPr id="3121" name="Object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2</xdr:row>
          <xdr:rowOff>247650</xdr:rowOff>
        </xdr:from>
        <xdr:to>
          <xdr:col>15</xdr:col>
          <xdr:colOff>514350</xdr:colOff>
          <xdr:row>8</xdr:row>
          <xdr:rowOff>38100</xdr:rowOff>
        </xdr:to>
        <xdr:sp macro="" textlink="">
          <xdr:nvSpPr>
            <xdr:cNvPr id="3122" name="Object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2</xdr:row>
          <xdr:rowOff>419100</xdr:rowOff>
        </xdr:from>
        <xdr:to>
          <xdr:col>18</xdr:col>
          <xdr:colOff>0</xdr:colOff>
          <xdr:row>10</xdr:row>
          <xdr:rowOff>133350</xdr:rowOff>
        </xdr:to>
        <xdr:sp macro="" textlink="">
          <xdr:nvSpPr>
            <xdr:cNvPr id="3123" name="Object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2</xdr:row>
          <xdr:rowOff>171450</xdr:rowOff>
        </xdr:from>
        <xdr:to>
          <xdr:col>21</xdr:col>
          <xdr:colOff>714375</xdr:colOff>
          <xdr:row>8</xdr:row>
          <xdr:rowOff>47625</xdr:rowOff>
        </xdr:to>
        <xdr:sp macro="" textlink="">
          <xdr:nvSpPr>
            <xdr:cNvPr id="3124" name="Object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104775</xdr:colOff>
          <xdr:row>2</xdr:row>
          <xdr:rowOff>209550</xdr:rowOff>
        </xdr:from>
        <xdr:to>
          <xdr:col>45</xdr:col>
          <xdr:colOff>762000</xdr:colOff>
          <xdr:row>8</xdr:row>
          <xdr:rowOff>133350</xdr:rowOff>
        </xdr:to>
        <xdr:sp macro="" textlink="">
          <xdr:nvSpPr>
            <xdr:cNvPr id="3127" name="Object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683558</xdr:colOff>
      <xdr:row>91</xdr:row>
      <xdr:rowOff>67235</xdr:rowOff>
    </xdr:from>
    <xdr:to>
      <xdr:col>13</xdr:col>
      <xdr:colOff>470645</xdr:colOff>
      <xdr:row>116</xdr:row>
      <xdr:rowOff>67235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425825</xdr:colOff>
      <xdr:row>89</xdr:row>
      <xdr:rowOff>134470</xdr:rowOff>
    </xdr:from>
    <xdr:to>
      <xdr:col>60</xdr:col>
      <xdr:colOff>571500</xdr:colOff>
      <xdr:row>115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190500</xdr:colOff>
      <xdr:row>86</xdr:row>
      <xdr:rowOff>101974</xdr:rowOff>
    </xdr:from>
    <xdr:to>
      <xdr:col>35</xdr:col>
      <xdr:colOff>773205</xdr:colOff>
      <xdr:row>100</xdr:row>
      <xdr:rowOff>178174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481853</xdr:colOff>
      <xdr:row>88</xdr:row>
      <xdr:rowOff>168088</xdr:rowOff>
    </xdr:from>
    <xdr:to>
      <xdr:col>62</xdr:col>
      <xdr:colOff>1</xdr:colOff>
      <xdr:row>106</xdr:row>
      <xdr:rowOff>10083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89646</xdr:colOff>
      <xdr:row>90</xdr:row>
      <xdr:rowOff>135590</xdr:rowOff>
    </xdr:from>
    <xdr:to>
      <xdr:col>44</xdr:col>
      <xdr:colOff>347382</xdr:colOff>
      <xdr:row>105</xdr:row>
      <xdr:rowOff>21290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26455</xdr:colOff>
      <xdr:row>93</xdr:row>
      <xdr:rowOff>94191</xdr:rowOff>
    </xdr:from>
    <xdr:to>
      <xdr:col>13</xdr:col>
      <xdr:colOff>190498</xdr:colOff>
      <xdr:row>107</xdr:row>
      <xdr:rowOff>170391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470958</xdr:colOff>
      <xdr:row>97</xdr:row>
      <xdr:rowOff>94190</xdr:rowOff>
    </xdr:from>
    <xdr:to>
      <xdr:col>20</xdr:col>
      <xdr:colOff>137584</xdr:colOff>
      <xdr:row>111</xdr:row>
      <xdr:rowOff>170390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677332</xdr:colOff>
      <xdr:row>15</xdr:row>
      <xdr:rowOff>189441</xdr:rowOff>
    </xdr:from>
    <xdr:to>
      <xdr:col>15</xdr:col>
      <xdr:colOff>402165</xdr:colOff>
      <xdr:row>30</xdr:row>
      <xdr:rowOff>75141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8</xdr:row>
      <xdr:rowOff>0</xdr:rowOff>
    </xdr:from>
    <xdr:to>
      <xdr:col>8</xdr:col>
      <xdr:colOff>666750</xdr:colOff>
      <xdr:row>9</xdr:row>
      <xdr:rowOff>57150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5829300" y="1524000"/>
          <a:ext cx="9334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00" b="1">
              <a:latin typeface="Arial" panose="020B0604020202020204" pitchFamily="34" charset="0"/>
              <a:cs typeface="Arial" panose="020B0604020202020204" pitchFamily="34" charset="0"/>
            </a:rPr>
            <a:t>Insostenible</a:t>
          </a:r>
        </a:p>
      </xdr:txBody>
    </xdr:sp>
    <xdr:clientData/>
  </xdr:twoCellAnchor>
  <xdr:twoCellAnchor>
    <xdr:from>
      <xdr:col>7</xdr:col>
      <xdr:colOff>523875</xdr:colOff>
      <xdr:row>9</xdr:row>
      <xdr:rowOff>142875</xdr:rowOff>
    </xdr:from>
    <xdr:to>
      <xdr:col>8</xdr:col>
      <xdr:colOff>695325</xdr:colOff>
      <xdr:row>11</xdr:row>
      <xdr:rowOff>9525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5857875" y="1857375"/>
          <a:ext cx="9334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00" b="1">
              <a:latin typeface="Arial" panose="020B0604020202020204" pitchFamily="34" charset="0"/>
              <a:cs typeface="Arial" panose="020B0604020202020204" pitchFamily="34" charset="0"/>
            </a:rPr>
            <a:t>Sostenible</a:t>
          </a:r>
        </a:p>
      </xdr:txBody>
    </xdr:sp>
    <xdr:clientData/>
  </xdr:twoCellAnchor>
  <xdr:twoCellAnchor>
    <xdr:from>
      <xdr:col>4</xdr:col>
      <xdr:colOff>564776</xdr:colOff>
      <xdr:row>1</xdr:row>
      <xdr:rowOff>156883</xdr:rowOff>
    </xdr:from>
    <xdr:to>
      <xdr:col>13</xdr:col>
      <xdr:colOff>717176</xdr:colOff>
      <xdr:row>16</xdr:row>
      <xdr:rowOff>33618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0.68246</cdr:x>
      <cdr:y>0.82851</cdr:y>
    </cdr:from>
    <cdr:to>
      <cdr:x>0.94474</cdr:x>
      <cdr:y>0.99109</cdr:y>
    </cdr:to>
    <cdr:sp macro="" textlink="">
      <cdr:nvSpPr>
        <cdr:cNvPr id="9" name="CuadroTexto 8"/>
        <cdr:cNvSpPr txBox="1"/>
      </cdr:nvSpPr>
      <cdr:spPr>
        <a:xfrm xmlns:a="http://schemas.openxmlformats.org/drawingml/2006/main">
          <a:off x="7410451" y="3543300"/>
          <a:ext cx="2847975" cy="695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0.75877</cdr:x>
      <cdr:y>0.73274</cdr:y>
    </cdr:from>
    <cdr:to>
      <cdr:x>0.96316</cdr:x>
      <cdr:y>1</cdr:y>
    </cdr:to>
    <cdr:sp macro="" textlink="">
      <cdr:nvSpPr>
        <cdr:cNvPr id="10" name="CuadroTexto 9"/>
        <cdr:cNvSpPr txBox="1"/>
      </cdr:nvSpPr>
      <cdr:spPr>
        <a:xfrm xmlns:a="http://schemas.openxmlformats.org/drawingml/2006/main">
          <a:off x="8239126" y="3562350"/>
          <a:ext cx="2219325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C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5</xdr:row>
      <xdr:rowOff>180975</xdr:rowOff>
    </xdr:from>
    <xdr:to>
      <xdr:col>16</xdr:col>
      <xdr:colOff>508050</xdr:colOff>
      <xdr:row>18</xdr:row>
      <xdr:rowOff>44475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0.87924</cdr:y>
    </cdr:from>
    <cdr:to>
      <cdr:x>0.26662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9EC83CF0-ACEC-47BA-940D-9606477C800D}"/>
            </a:ext>
          </a:extLst>
        </cdr:cNvPr>
        <cdr:cNvSpPr txBox="1"/>
      </cdr:nvSpPr>
      <cdr:spPr>
        <a:xfrm xmlns:a="http://schemas.openxmlformats.org/drawingml/2006/main">
          <a:off x="0" y="2057425"/>
          <a:ext cx="1247768" cy="282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Fuente: BCE</a:t>
          </a:r>
        </a:p>
        <a:p xmlns:a="http://schemas.openxmlformats.org/drawingml/2006/main">
          <a:r>
            <a:rPr lang="es-EC" sz="700">
              <a:latin typeface="Times New Roman" panose="02020603050405020304" pitchFamily="18" charset="0"/>
              <a:cs typeface="Times New Roman" panose="02020603050405020304" pitchFamily="18" charset="0"/>
            </a:rPr>
            <a:t>Elaboración: Propia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TNK">
      <a:dk1>
        <a:sysClr val="windowText" lastClr="000000"/>
      </a:dk1>
      <a:lt1>
        <a:srgbClr val="FFFFFF"/>
      </a:lt1>
      <a:dk2>
        <a:srgbClr val="00006B"/>
      </a:dk2>
      <a:lt2>
        <a:srgbClr val="FF3680"/>
      </a:lt2>
      <a:accent1>
        <a:srgbClr val="00006B"/>
      </a:accent1>
      <a:accent2>
        <a:srgbClr val="0017FF"/>
      </a:accent2>
      <a:accent3>
        <a:srgbClr val="FFBA24"/>
      </a:accent3>
      <a:accent4>
        <a:srgbClr val="F74500"/>
      </a:accent4>
      <a:accent5>
        <a:srgbClr val="561048"/>
      </a:accent5>
      <a:accent6>
        <a:srgbClr val="DA1224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7.bin"/><Relationship Id="rId18" Type="http://schemas.openxmlformats.org/officeDocument/2006/relationships/image" Target="../media/image7.emf"/><Relationship Id="rId26" Type="http://schemas.openxmlformats.org/officeDocument/2006/relationships/image" Target="../media/image9.emf"/><Relationship Id="rId39" Type="http://schemas.openxmlformats.org/officeDocument/2006/relationships/oleObject" Target="../embeddings/oleObject26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13.bin"/><Relationship Id="rId34" Type="http://schemas.openxmlformats.org/officeDocument/2006/relationships/oleObject" Target="../embeddings/oleObject23.bin"/><Relationship Id="rId42" Type="http://schemas.openxmlformats.org/officeDocument/2006/relationships/comments" Target="../comments2.xml"/><Relationship Id="rId7" Type="http://schemas.openxmlformats.org/officeDocument/2006/relationships/image" Target="../media/image3.emf"/><Relationship Id="rId12" Type="http://schemas.openxmlformats.org/officeDocument/2006/relationships/image" Target="../media/image5.emf"/><Relationship Id="rId17" Type="http://schemas.openxmlformats.org/officeDocument/2006/relationships/oleObject" Target="../embeddings/oleObject10.bin"/><Relationship Id="rId25" Type="http://schemas.openxmlformats.org/officeDocument/2006/relationships/oleObject" Target="../embeddings/oleObject16.bin"/><Relationship Id="rId33" Type="http://schemas.openxmlformats.org/officeDocument/2006/relationships/oleObject" Target="../embeddings/oleObject22.bin"/><Relationship Id="rId38" Type="http://schemas.openxmlformats.org/officeDocument/2006/relationships/image" Target="../media/image12.emf"/><Relationship Id="rId2" Type="http://schemas.openxmlformats.org/officeDocument/2006/relationships/drawing" Target="../drawings/drawing2.xml"/><Relationship Id="rId16" Type="http://schemas.openxmlformats.org/officeDocument/2006/relationships/image" Target="../media/image6.emf"/><Relationship Id="rId20" Type="http://schemas.openxmlformats.org/officeDocument/2006/relationships/oleObject" Target="../embeddings/oleObject12.bin"/><Relationship Id="rId29" Type="http://schemas.openxmlformats.org/officeDocument/2006/relationships/oleObject" Target="../embeddings/oleObject19.bin"/><Relationship Id="rId41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5.bin"/><Relationship Id="rId32" Type="http://schemas.openxmlformats.org/officeDocument/2006/relationships/image" Target="../media/image10.emf"/><Relationship Id="rId37" Type="http://schemas.openxmlformats.org/officeDocument/2006/relationships/oleObject" Target="../embeddings/oleObject25.bin"/><Relationship Id="rId40" Type="http://schemas.openxmlformats.org/officeDocument/2006/relationships/image" Target="../media/image13.emf"/><Relationship Id="rId5" Type="http://schemas.openxmlformats.org/officeDocument/2006/relationships/image" Target="../media/image2.emf"/><Relationship Id="rId15" Type="http://schemas.openxmlformats.org/officeDocument/2006/relationships/oleObject" Target="../embeddings/oleObject9.bin"/><Relationship Id="rId23" Type="http://schemas.openxmlformats.org/officeDocument/2006/relationships/image" Target="../media/image8.emf"/><Relationship Id="rId28" Type="http://schemas.openxmlformats.org/officeDocument/2006/relationships/oleObject" Target="../embeddings/oleObject18.bin"/><Relationship Id="rId36" Type="http://schemas.openxmlformats.org/officeDocument/2006/relationships/oleObject" Target="../embeddings/oleObject24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1.bin"/><Relationship Id="rId31" Type="http://schemas.openxmlformats.org/officeDocument/2006/relationships/oleObject" Target="../embeddings/oleObject21.bin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emf"/><Relationship Id="rId14" Type="http://schemas.openxmlformats.org/officeDocument/2006/relationships/oleObject" Target="../embeddings/oleObject8.bin"/><Relationship Id="rId22" Type="http://schemas.openxmlformats.org/officeDocument/2006/relationships/oleObject" Target="../embeddings/oleObject14.bin"/><Relationship Id="rId27" Type="http://schemas.openxmlformats.org/officeDocument/2006/relationships/oleObject" Target="../embeddings/oleObject17.bin"/><Relationship Id="rId30" Type="http://schemas.openxmlformats.org/officeDocument/2006/relationships/oleObject" Target="../embeddings/oleObject20.bin"/><Relationship Id="rId35" Type="http://schemas.openxmlformats.org/officeDocument/2006/relationships/image" Target="../media/image11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0.bin"/><Relationship Id="rId13" Type="http://schemas.openxmlformats.org/officeDocument/2006/relationships/image" Target="../media/image18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12" Type="http://schemas.openxmlformats.org/officeDocument/2006/relationships/oleObject" Target="../embeddings/oleObject32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9.bin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oleObject" Target="../embeddings/oleObject31.bin"/><Relationship Id="rId4" Type="http://schemas.openxmlformats.org/officeDocument/2006/relationships/oleObject" Target="../embeddings/oleObject28.bin"/><Relationship Id="rId9" Type="http://schemas.openxmlformats.org/officeDocument/2006/relationships/image" Target="../media/image16.emf"/><Relationship Id="rId1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5.bin"/><Relationship Id="rId13" Type="http://schemas.openxmlformats.org/officeDocument/2006/relationships/image" Target="../media/image14.emf"/><Relationship Id="rId18" Type="http://schemas.openxmlformats.org/officeDocument/2006/relationships/oleObject" Target="../embeddings/oleObject40.bin"/><Relationship Id="rId26" Type="http://schemas.openxmlformats.org/officeDocument/2006/relationships/image" Target="../media/image18.emf"/><Relationship Id="rId3" Type="http://schemas.openxmlformats.org/officeDocument/2006/relationships/vmlDrawing" Target="../drawings/vmlDrawing4.vml"/><Relationship Id="rId21" Type="http://schemas.openxmlformats.org/officeDocument/2006/relationships/oleObject" Target="../embeddings/oleObject42.bin"/><Relationship Id="rId7" Type="http://schemas.openxmlformats.org/officeDocument/2006/relationships/image" Target="../media/image20.emf"/><Relationship Id="rId12" Type="http://schemas.openxmlformats.org/officeDocument/2006/relationships/oleObject" Target="../embeddings/oleObject37.bin"/><Relationship Id="rId17" Type="http://schemas.openxmlformats.org/officeDocument/2006/relationships/image" Target="../media/image2.emf"/><Relationship Id="rId25" Type="http://schemas.openxmlformats.org/officeDocument/2006/relationships/oleObject" Target="../embeddings/oleObject45.bin"/><Relationship Id="rId2" Type="http://schemas.openxmlformats.org/officeDocument/2006/relationships/drawing" Target="../drawings/drawing4.xml"/><Relationship Id="rId16" Type="http://schemas.openxmlformats.org/officeDocument/2006/relationships/oleObject" Target="../embeddings/oleObject39.bin"/><Relationship Id="rId20" Type="http://schemas.openxmlformats.org/officeDocument/2006/relationships/oleObject" Target="../embeddings/oleObject41.bin"/><Relationship Id="rId29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4.bin"/><Relationship Id="rId11" Type="http://schemas.openxmlformats.org/officeDocument/2006/relationships/image" Target="../media/image12.emf"/><Relationship Id="rId24" Type="http://schemas.openxmlformats.org/officeDocument/2006/relationships/oleObject" Target="../embeddings/oleObject44.bin"/><Relationship Id="rId5" Type="http://schemas.openxmlformats.org/officeDocument/2006/relationships/image" Target="../media/image19.emf"/><Relationship Id="rId15" Type="http://schemas.openxmlformats.org/officeDocument/2006/relationships/image" Target="../media/image15.emf"/><Relationship Id="rId23" Type="http://schemas.openxmlformats.org/officeDocument/2006/relationships/oleObject" Target="../embeddings/oleObject43.bin"/><Relationship Id="rId28" Type="http://schemas.openxmlformats.org/officeDocument/2006/relationships/oleObject" Target="../embeddings/oleObject47.bin"/><Relationship Id="rId10" Type="http://schemas.openxmlformats.org/officeDocument/2006/relationships/oleObject" Target="../embeddings/oleObject36.bin"/><Relationship Id="rId19" Type="http://schemas.openxmlformats.org/officeDocument/2006/relationships/image" Target="../media/image16.emf"/><Relationship Id="rId31" Type="http://schemas.openxmlformats.org/officeDocument/2006/relationships/comments" Target="../comments4.xml"/><Relationship Id="rId4" Type="http://schemas.openxmlformats.org/officeDocument/2006/relationships/oleObject" Target="../embeddings/oleObject33.bin"/><Relationship Id="rId9" Type="http://schemas.openxmlformats.org/officeDocument/2006/relationships/image" Target="../media/image13.emf"/><Relationship Id="rId14" Type="http://schemas.openxmlformats.org/officeDocument/2006/relationships/oleObject" Target="../embeddings/oleObject38.bin"/><Relationship Id="rId22" Type="http://schemas.openxmlformats.org/officeDocument/2006/relationships/image" Target="../media/image17.emf"/><Relationship Id="rId27" Type="http://schemas.openxmlformats.org/officeDocument/2006/relationships/oleObject" Target="../embeddings/oleObject46.bin"/><Relationship Id="rId30" Type="http://schemas.openxmlformats.org/officeDocument/2006/relationships/oleObject" Target="../embeddings/oleObject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tematicas.org/indicadores-economicos/economia-internacional/precios/ipc-estados-unidos/" TargetMode="External"/><Relationship Id="rId1" Type="http://schemas.openxmlformats.org/officeDocument/2006/relationships/hyperlink" Target="http://contenido.bce.fin.ec/resumen_ticker.php?ticker_value=inflacion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6"/>
  <sheetViews>
    <sheetView tabSelected="1" zoomScale="80" zoomScaleNormal="80" zoomScalePageLayoutView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7" sqref="O7:O87"/>
    </sheetView>
  </sheetViews>
  <sheetFormatPr baseColWidth="10" defaultColWidth="11.42578125" defaultRowHeight="15" x14ac:dyDescent="0.25"/>
  <cols>
    <col min="5" max="5" width="13.5703125" customWidth="1"/>
    <col min="6" max="6" width="12.140625" customWidth="1"/>
    <col min="7" max="7" width="12.7109375" customWidth="1"/>
    <col min="8" max="8" width="14.28515625" customWidth="1"/>
    <col min="11" max="11" width="13.5703125" customWidth="1"/>
    <col min="12" max="12" width="17.5703125" customWidth="1"/>
    <col min="13" max="13" width="12.28515625" bestFit="1" customWidth="1"/>
    <col min="14" max="14" width="13.42578125" customWidth="1"/>
  </cols>
  <sheetData>
    <row r="1" spans="1:16" x14ac:dyDescent="0.25">
      <c r="A1" s="2" t="s">
        <v>54</v>
      </c>
      <c r="D1" t="s">
        <v>121</v>
      </c>
      <c r="F1" s="130" t="s">
        <v>168</v>
      </c>
      <c r="I1" s="126"/>
      <c r="J1" s="126"/>
      <c r="K1" s="126"/>
      <c r="L1" s="126"/>
      <c r="M1" s="126"/>
      <c r="N1" s="126"/>
      <c r="O1" s="126"/>
      <c r="P1" s="126"/>
    </row>
    <row r="2" spans="1:16" ht="53.25" customHeight="1" x14ac:dyDescent="0.25">
      <c r="B2" s="400" t="s">
        <v>154</v>
      </c>
      <c r="C2" s="400"/>
      <c r="D2" s="400"/>
      <c r="E2" s="400"/>
      <c r="F2" s="400"/>
      <c r="G2" s="400"/>
      <c r="H2" s="400"/>
      <c r="I2" s="7"/>
      <c r="J2" s="401" t="s">
        <v>60</v>
      </c>
      <c r="K2" s="402"/>
      <c r="L2" s="402"/>
    </row>
    <row r="3" spans="1:16" ht="80.25" customHeight="1" x14ac:dyDescent="0.25">
      <c r="A3" s="3" t="s">
        <v>52</v>
      </c>
      <c r="B3" s="4" t="s">
        <v>55</v>
      </c>
      <c r="C3" s="4" t="s">
        <v>56</v>
      </c>
      <c r="D3" s="4" t="s">
        <v>57</v>
      </c>
      <c r="E3" s="15" t="s">
        <v>58</v>
      </c>
      <c r="F3" s="15" t="s">
        <v>155</v>
      </c>
      <c r="G3" s="5" t="s">
        <v>59</v>
      </c>
      <c r="H3" s="4" t="s">
        <v>146</v>
      </c>
      <c r="I3" s="6"/>
      <c r="J3" s="19" t="s">
        <v>52</v>
      </c>
      <c r="K3" s="23" t="s">
        <v>194</v>
      </c>
      <c r="L3" s="23" t="s">
        <v>63</v>
      </c>
    </row>
    <row r="4" spans="1:16" s="126" customFormat="1" ht="15.75" x14ac:dyDescent="0.25">
      <c r="A4" s="1" t="s">
        <v>199</v>
      </c>
      <c r="B4" s="131">
        <v>202.5</v>
      </c>
      <c r="C4" s="131">
        <v>31.499999999999993</v>
      </c>
      <c r="D4" s="131">
        <v>78.400000000000006</v>
      </c>
      <c r="E4" s="131">
        <v>117.5</v>
      </c>
      <c r="F4" s="131">
        <v>9.6999999999999993</v>
      </c>
      <c r="G4" s="131">
        <v>91</v>
      </c>
      <c r="H4" s="131">
        <f t="shared" ref="H4:H11" si="0">SUM(B4:G4)</f>
        <v>530.59999999999991</v>
      </c>
      <c r="I4" s="13"/>
      <c r="J4" s="24" t="s">
        <v>199</v>
      </c>
      <c r="K4" s="11">
        <v>9631.259696873165</v>
      </c>
      <c r="L4" s="11">
        <v>6316.7513098279887</v>
      </c>
      <c r="M4" s="126">
        <v>9684.9346873688592</v>
      </c>
    </row>
    <row r="5" spans="1:16" s="126" customFormat="1" ht="15.75" x14ac:dyDescent="0.25">
      <c r="A5" s="1" t="s">
        <v>200</v>
      </c>
      <c r="B5" s="131">
        <v>208.1</v>
      </c>
      <c r="C5" s="131">
        <v>35</v>
      </c>
      <c r="D5" s="131">
        <v>101.9</v>
      </c>
      <c r="E5" s="131">
        <v>173.9</v>
      </c>
      <c r="F5" s="131">
        <v>18.100000000000001</v>
      </c>
      <c r="G5" s="131">
        <v>46.8</v>
      </c>
      <c r="H5" s="131">
        <f t="shared" si="0"/>
        <v>583.79999999999995</v>
      </c>
      <c r="I5" s="13"/>
      <c r="J5" s="24" t="s">
        <v>200</v>
      </c>
      <c r="K5" s="11">
        <v>9728.1935129151352</v>
      </c>
      <c r="L5" s="11">
        <v>6592.7566040159973</v>
      </c>
      <c r="M5" s="126">
        <v>9639.5875791029102</v>
      </c>
    </row>
    <row r="6" spans="1:16" s="126" customFormat="1" ht="15.75" x14ac:dyDescent="0.25">
      <c r="A6" s="1" t="s">
        <v>201</v>
      </c>
      <c r="B6" s="131">
        <v>213.1</v>
      </c>
      <c r="C6" s="131">
        <v>30.7</v>
      </c>
      <c r="D6" s="131">
        <v>103.5</v>
      </c>
      <c r="E6" s="131">
        <v>170.2</v>
      </c>
      <c r="F6" s="131">
        <v>18.600000000000001</v>
      </c>
      <c r="G6" s="131">
        <v>64.899999999999991</v>
      </c>
      <c r="H6" s="131">
        <f t="shared" si="0"/>
        <v>601</v>
      </c>
      <c r="I6" s="13"/>
      <c r="J6" s="24" t="s">
        <v>201</v>
      </c>
      <c r="K6" s="11">
        <v>9835.292468047357</v>
      </c>
      <c r="L6" s="11">
        <v>6831.91004409569</v>
      </c>
      <c r="M6" s="126">
        <v>9593.70372396327</v>
      </c>
    </row>
    <row r="7" spans="1:16" s="126" customFormat="1" ht="15.75" x14ac:dyDescent="0.25">
      <c r="A7" s="1" t="s">
        <v>202</v>
      </c>
      <c r="B7" s="131">
        <v>207.5</v>
      </c>
      <c r="C7" s="131">
        <v>27.1</v>
      </c>
      <c r="D7" s="131">
        <v>70</v>
      </c>
      <c r="E7" s="131">
        <v>161.19999999999999</v>
      </c>
      <c r="F7" s="131">
        <v>12.7</v>
      </c>
      <c r="G7" s="131">
        <v>138.80000000000001</v>
      </c>
      <c r="H7" s="131">
        <f t="shared" si="0"/>
        <v>617.29999999999995</v>
      </c>
      <c r="I7" s="13"/>
      <c r="J7" s="24" t="s">
        <v>202</v>
      </c>
      <c r="K7" s="11">
        <v>9980.9003221643416</v>
      </c>
      <c r="L7" s="11">
        <v>6994.5232614090874</v>
      </c>
      <c r="M7" s="126">
        <v>9547.6323992852194</v>
      </c>
      <c r="O7" s="448">
        <f t="shared" ref="O7:O11" si="1">SUM(K4:K7)</f>
        <v>39175.646000000001</v>
      </c>
    </row>
    <row r="8" spans="1:16" s="126" customFormat="1" ht="15.75" x14ac:dyDescent="0.25">
      <c r="A8" s="1" t="s">
        <v>203</v>
      </c>
      <c r="B8" s="131">
        <v>143.80000000000001</v>
      </c>
      <c r="C8" s="131">
        <v>18.7</v>
      </c>
      <c r="D8" s="131">
        <v>39.700000000000003</v>
      </c>
      <c r="E8" s="131">
        <v>107.7</v>
      </c>
      <c r="F8" s="131">
        <v>94.5</v>
      </c>
      <c r="G8" s="131">
        <v>61.8</v>
      </c>
      <c r="H8" s="131">
        <f t="shared" si="0"/>
        <v>466.2</v>
      </c>
      <c r="I8" s="13"/>
      <c r="J8" s="24" t="s">
        <v>203</v>
      </c>
      <c r="K8" s="11">
        <v>9174.7971433191306</v>
      </c>
      <c r="L8" s="11">
        <v>4529.2634767635955</v>
      </c>
      <c r="M8" s="126">
        <v>9504.1387451644205</v>
      </c>
      <c r="O8" s="448">
        <f t="shared" si="1"/>
        <v>38719.183446445968</v>
      </c>
    </row>
    <row r="9" spans="1:16" s="126" customFormat="1" ht="15.75" x14ac:dyDescent="0.25">
      <c r="A9" s="1" t="s">
        <v>204</v>
      </c>
      <c r="B9" s="131">
        <v>119.2</v>
      </c>
      <c r="C9" s="131">
        <v>16.100000000000001</v>
      </c>
      <c r="D9" s="131">
        <v>58.8</v>
      </c>
      <c r="E9" s="131">
        <v>75.099999999999994</v>
      </c>
      <c r="F9" s="131">
        <v>104.8</v>
      </c>
      <c r="G9" s="131">
        <v>97</v>
      </c>
      <c r="H9" s="131">
        <f t="shared" si="0"/>
        <v>471.00000000000006</v>
      </c>
      <c r="I9" s="13"/>
      <c r="J9" s="24" t="s">
        <v>204</v>
      </c>
      <c r="K9" s="11">
        <v>9267.1368918570715</v>
      </c>
      <c r="L9" s="11">
        <v>4727.1659486266499</v>
      </c>
      <c r="M9" s="126">
        <v>9470.3205777036492</v>
      </c>
      <c r="O9" s="448">
        <f t="shared" si="1"/>
        <v>38258.126825387902</v>
      </c>
    </row>
    <row r="10" spans="1:16" s="126" customFormat="1" ht="15.75" x14ac:dyDescent="0.25">
      <c r="A10" s="1" t="s">
        <v>205</v>
      </c>
      <c r="B10" s="131">
        <v>150.9</v>
      </c>
      <c r="C10" s="131">
        <v>17.3</v>
      </c>
      <c r="D10" s="131">
        <v>20.100000000000001</v>
      </c>
      <c r="E10" s="131">
        <v>81.2</v>
      </c>
      <c r="F10" s="131">
        <v>119</v>
      </c>
      <c r="G10" s="131">
        <v>37.6</v>
      </c>
      <c r="H10" s="131">
        <f t="shared" si="0"/>
        <v>426.1</v>
      </c>
      <c r="I10" s="13"/>
      <c r="J10" s="24" t="s">
        <v>205</v>
      </c>
      <c r="K10" s="11">
        <v>9369.1600143276009</v>
      </c>
      <c r="L10" s="11">
        <v>4898.64474973285</v>
      </c>
      <c r="M10" s="126">
        <v>9449.9823255540905</v>
      </c>
      <c r="O10" s="448">
        <f t="shared" si="1"/>
        <v>37791.994371668145</v>
      </c>
    </row>
    <row r="11" spans="1:16" s="126" customFormat="1" ht="15.75" x14ac:dyDescent="0.25">
      <c r="A11" s="1" t="s">
        <v>206</v>
      </c>
      <c r="B11" s="131">
        <v>142.69999999999999</v>
      </c>
      <c r="C11" s="131">
        <v>17.8</v>
      </c>
      <c r="D11" s="131">
        <v>7.9</v>
      </c>
      <c r="E11" s="131">
        <v>84.4</v>
      </c>
      <c r="F11" s="131">
        <v>92.9</v>
      </c>
      <c r="G11" s="131">
        <v>35</v>
      </c>
      <c r="H11" s="131">
        <f t="shared" si="0"/>
        <v>380.70000000000005</v>
      </c>
      <c r="I11" s="13"/>
      <c r="J11" s="24" t="s">
        <v>206</v>
      </c>
      <c r="K11" s="11">
        <v>9507.8669504961963</v>
      </c>
      <c r="L11" s="11">
        <v>5015.2423597845018</v>
      </c>
      <c r="M11" s="126">
        <v>9444.8966115898402</v>
      </c>
      <c r="O11" s="448">
        <f t="shared" si="1"/>
        <v>37318.960999999996</v>
      </c>
    </row>
    <row r="12" spans="1:16" ht="15.75" customHeight="1" x14ac:dyDescent="0.25">
      <c r="A12" s="1" t="s">
        <v>0</v>
      </c>
      <c r="B12" s="131">
        <v>153.19999999999999</v>
      </c>
      <c r="C12" s="131">
        <v>10.199999999999999</v>
      </c>
      <c r="D12" s="131">
        <v>45.2</v>
      </c>
      <c r="E12" s="131">
        <v>73.2</v>
      </c>
      <c r="F12" s="131">
        <v>44.5</v>
      </c>
      <c r="G12" s="131">
        <v>54.1</v>
      </c>
      <c r="H12" s="131">
        <f>SUM(B12:G12)</f>
        <v>380.4</v>
      </c>
      <c r="I12" s="13"/>
      <c r="J12" s="24" t="s">
        <v>0</v>
      </c>
      <c r="K12" s="11">
        <v>9134.5869999999995</v>
      </c>
      <c r="L12" s="11">
        <v>3819.1260000000002</v>
      </c>
      <c r="M12" s="126">
        <v>9456.0278354295206</v>
      </c>
      <c r="O12" s="448">
        <f t="shared" ref="O12:O75" si="2">SUM(K9:K12)</f>
        <v>37278.750856680868</v>
      </c>
    </row>
    <row r="13" spans="1:16" ht="15.75" x14ac:dyDescent="0.25">
      <c r="A13" s="1" t="s">
        <v>6</v>
      </c>
      <c r="B13" s="131">
        <v>184.3</v>
      </c>
      <c r="C13" s="131">
        <v>17</v>
      </c>
      <c r="D13" s="131">
        <v>90.5</v>
      </c>
      <c r="E13" s="131">
        <v>74.599999999999994</v>
      </c>
      <c r="F13" s="131">
        <v>49.5</v>
      </c>
      <c r="G13" s="131">
        <v>49.9</v>
      </c>
      <c r="H13" s="131">
        <f t="shared" ref="H13:H43" si="3">SUM(B13:G13)</f>
        <v>465.79999999999995</v>
      </c>
      <c r="I13" s="13"/>
      <c r="J13" s="24" t="s">
        <v>6</v>
      </c>
      <c r="K13" s="11">
        <v>9320.4140000000007</v>
      </c>
      <c r="L13" s="11">
        <v>4402.4790000000003</v>
      </c>
      <c r="M13" s="126">
        <v>9484.9701305757899</v>
      </c>
      <c r="O13" s="448">
        <f t="shared" si="2"/>
        <v>37332.027964823792</v>
      </c>
    </row>
    <row r="14" spans="1:16" ht="15.75" x14ac:dyDescent="0.25">
      <c r="A14" s="1" t="s">
        <v>1</v>
      </c>
      <c r="B14" s="131">
        <v>230.7</v>
      </c>
      <c r="C14" s="131">
        <v>20.3</v>
      </c>
      <c r="D14" s="131">
        <v>79.7</v>
      </c>
      <c r="E14" s="131">
        <v>93.3</v>
      </c>
      <c r="F14" s="131">
        <v>49.6</v>
      </c>
      <c r="G14" s="131">
        <v>67.7</v>
      </c>
      <c r="H14" s="131">
        <f t="shared" si="3"/>
        <v>541.30000000000007</v>
      </c>
      <c r="I14" s="14"/>
      <c r="J14" s="24" t="s">
        <v>1</v>
      </c>
      <c r="K14" s="11">
        <v>9548.491</v>
      </c>
      <c r="L14" s="11">
        <v>4906.6530000000002</v>
      </c>
      <c r="M14" s="126">
        <v>9530.1032521770703</v>
      </c>
      <c r="O14" s="448">
        <f t="shared" si="2"/>
        <v>37511.358950496193</v>
      </c>
    </row>
    <row r="15" spans="1:16" ht="15.75" x14ac:dyDescent="0.25">
      <c r="A15" s="1" t="s">
        <v>2</v>
      </c>
      <c r="B15" s="131">
        <v>267.39999999999998</v>
      </c>
      <c r="C15" s="131">
        <v>27.1</v>
      </c>
      <c r="D15" s="131">
        <v>78.2</v>
      </c>
      <c r="E15" s="131">
        <v>71.7</v>
      </c>
      <c r="F15" s="131">
        <v>49.8</v>
      </c>
      <c r="G15" s="131">
        <v>59.2</v>
      </c>
      <c r="H15" s="131">
        <f t="shared" si="3"/>
        <v>553.4</v>
      </c>
      <c r="I15" s="14"/>
      <c r="J15" s="24" t="s">
        <v>2</v>
      </c>
      <c r="K15" s="11">
        <v>9722.9179999999997</v>
      </c>
      <c r="L15" s="11">
        <v>5190.3429999999998</v>
      </c>
      <c r="M15" s="126">
        <v>9588.1613540759608</v>
      </c>
      <c r="O15" s="448">
        <f t="shared" si="2"/>
        <v>37726.409999999996</v>
      </c>
    </row>
    <row r="16" spans="1:16" ht="15.75" x14ac:dyDescent="0.25">
      <c r="A16" s="1" t="s">
        <v>3</v>
      </c>
      <c r="B16" s="131">
        <v>279.10000000000002</v>
      </c>
      <c r="C16" s="131">
        <v>34.700000000000003</v>
      </c>
      <c r="D16" s="131">
        <v>80.8</v>
      </c>
      <c r="E16" s="131">
        <v>79.599999999999994</v>
      </c>
      <c r="F16" s="131">
        <v>15.8</v>
      </c>
      <c r="G16" s="131">
        <v>51.3</v>
      </c>
      <c r="H16" s="131">
        <f t="shared" si="3"/>
        <v>541.30000000000007</v>
      </c>
      <c r="I16" s="14"/>
      <c r="J16" s="24" t="s">
        <v>3</v>
      </c>
      <c r="K16" s="11">
        <v>9699.3629999999994</v>
      </c>
      <c r="L16" s="11">
        <v>5904.0820000000003</v>
      </c>
      <c r="M16" s="126">
        <v>9656.0624575933507</v>
      </c>
      <c r="O16" s="448">
        <f t="shared" si="2"/>
        <v>38291.185999999994</v>
      </c>
    </row>
    <row r="17" spans="1:15" ht="15.75" x14ac:dyDescent="0.25">
      <c r="A17" s="1" t="s">
        <v>4</v>
      </c>
      <c r="B17" s="131">
        <v>328.8</v>
      </c>
      <c r="C17" s="131">
        <v>30</v>
      </c>
      <c r="D17" s="131">
        <v>215.5</v>
      </c>
      <c r="E17" s="131">
        <v>91.1</v>
      </c>
      <c r="F17" s="131">
        <v>8.1</v>
      </c>
      <c r="G17" s="131">
        <v>40.200000000000003</v>
      </c>
      <c r="H17" s="131">
        <f t="shared" si="3"/>
        <v>713.7</v>
      </c>
      <c r="I17" s="14"/>
      <c r="J17" s="24" t="s">
        <v>4</v>
      </c>
      <c r="K17" s="11">
        <v>9802.4130000000005</v>
      </c>
      <c r="L17" s="11">
        <v>6069.62</v>
      </c>
      <c r="M17" s="126">
        <v>9732.0721705093201</v>
      </c>
      <c r="O17" s="448">
        <f t="shared" si="2"/>
        <v>38773.184999999998</v>
      </c>
    </row>
    <row r="18" spans="1:15" ht="15.75" x14ac:dyDescent="0.25">
      <c r="A18" s="1" t="s">
        <v>5</v>
      </c>
      <c r="B18" s="131">
        <v>377.3</v>
      </c>
      <c r="C18" s="131">
        <v>33.1</v>
      </c>
      <c r="D18" s="131">
        <v>111.6</v>
      </c>
      <c r="E18" s="131">
        <v>93.1</v>
      </c>
      <c r="F18" s="131">
        <v>9.5</v>
      </c>
      <c r="G18" s="131">
        <v>34.5</v>
      </c>
      <c r="H18" s="131">
        <f t="shared" si="3"/>
        <v>659.1</v>
      </c>
      <c r="J18" s="24" t="s">
        <v>5</v>
      </c>
      <c r="K18" s="11">
        <v>9809.4830000000002</v>
      </c>
      <c r="L18" s="11">
        <v>6159.6089999999995</v>
      </c>
      <c r="M18" s="126">
        <v>9814.8890760280501</v>
      </c>
      <c r="O18" s="448">
        <f t="shared" si="2"/>
        <v>39034.176999999996</v>
      </c>
    </row>
    <row r="19" spans="1:15" ht="15.75" x14ac:dyDescent="0.25">
      <c r="A19" s="1" t="s">
        <v>7</v>
      </c>
      <c r="B19" s="131">
        <v>354.9</v>
      </c>
      <c r="C19" s="131">
        <v>39.5</v>
      </c>
      <c r="D19" s="131">
        <v>67.7</v>
      </c>
      <c r="E19" s="131">
        <v>108.1</v>
      </c>
      <c r="F19" s="131">
        <v>4.5999999999999996</v>
      </c>
      <c r="G19" s="131">
        <v>77.099999999999994</v>
      </c>
      <c r="H19" s="131">
        <f t="shared" si="3"/>
        <v>651.9</v>
      </c>
      <c r="J19" s="24" t="s">
        <v>7</v>
      </c>
      <c r="K19" s="11">
        <v>9930.1039999999994</v>
      </c>
      <c r="L19" s="11">
        <v>6335.0129999999999</v>
      </c>
      <c r="M19" s="126">
        <v>9903.9151356486309</v>
      </c>
      <c r="O19" s="448">
        <f t="shared" si="2"/>
        <v>39241.362999999998</v>
      </c>
    </row>
    <row r="20" spans="1:15" ht="15.75" x14ac:dyDescent="0.25">
      <c r="A20" s="1" t="s">
        <v>8</v>
      </c>
      <c r="B20" s="131">
        <v>379.4</v>
      </c>
      <c r="C20" s="131">
        <v>53.4</v>
      </c>
      <c r="D20" s="131">
        <v>97.7</v>
      </c>
      <c r="E20" s="131">
        <v>100.3</v>
      </c>
      <c r="F20" s="131">
        <v>10.7</v>
      </c>
      <c r="G20" s="131">
        <v>132.30000000000001</v>
      </c>
      <c r="H20" s="131">
        <f t="shared" si="3"/>
        <v>773.8</v>
      </c>
      <c r="I20" s="13"/>
      <c r="J20" s="24" t="s">
        <v>8</v>
      </c>
      <c r="K20" s="11">
        <v>10063.566000000001</v>
      </c>
      <c r="L20" s="11">
        <v>6737.5509999999995</v>
      </c>
      <c r="M20" s="126">
        <v>9998.4982201098501</v>
      </c>
      <c r="O20" s="448">
        <f t="shared" si="2"/>
        <v>39605.565999999999</v>
      </c>
    </row>
    <row r="21" spans="1:15" ht="15.75" x14ac:dyDescent="0.25">
      <c r="A21" s="1" t="s">
        <v>9</v>
      </c>
      <c r="B21" s="131">
        <v>391.7</v>
      </c>
      <c r="C21" s="131">
        <v>53</v>
      </c>
      <c r="D21" s="131">
        <v>196.7</v>
      </c>
      <c r="E21" s="131">
        <v>104.4</v>
      </c>
      <c r="F21" s="131">
        <v>16.899999999999999</v>
      </c>
      <c r="G21" s="131">
        <v>133.9</v>
      </c>
      <c r="H21" s="131">
        <f t="shared" si="3"/>
        <v>896.59999999999991</v>
      </c>
      <c r="I21" s="13"/>
      <c r="J21" s="24" t="s">
        <v>9</v>
      </c>
      <c r="K21" s="11">
        <v>10205.817999999999</v>
      </c>
      <c r="L21" s="11">
        <v>7086.6270000000004</v>
      </c>
      <c r="M21" s="16">
        <v>10098.248048793999</v>
      </c>
      <c r="O21" s="448">
        <f t="shared" si="2"/>
        <v>40008.970999999998</v>
      </c>
    </row>
    <row r="22" spans="1:15" ht="15.75" x14ac:dyDescent="0.25">
      <c r="A22" s="1" t="s">
        <v>10</v>
      </c>
      <c r="B22" s="131">
        <v>376.7</v>
      </c>
      <c r="C22" s="131">
        <v>54.7</v>
      </c>
      <c r="D22" s="131">
        <v>138.1</v>
      </c>
      <c r="E22" s="131">
        <v>108.8</v>
      </c>
      <c r="F22" s="131">
        <v>14.7</v>
      </c>
      <c r="G22" s="131">
        <v>85.600000000000009</v>
      </c>
      <c r="H22" s="131">
        <f t="shared" si="3"/>
        <v>778.6</v>
      </c>
      <c r="I22" s="14"/>
      <c r="J22" s="24" t="s">
        <v>10</v>
      </c>
      <c r="K22" s="11">
        <v>10274.208000000001</v>
      </c>
      <c r="L22" s="11">
        <v>7294.1320000000005</v>
      </c>
      <c r="M22" s="126">
        <v>10203.4250588823</v>
      </c>
      <c r="O22" s="448">
        <f t="shared" si="2"/>
        <v>40473.695999999996</v>
      </c>
    </row>
    <row r="23" spans="1:15" ht="15.75" x14ac:dyDescent="0.25">
      <c r="A23" s="1" t="s">
        <v>11</v>
      </c>
      <c r="B23" s="131">
        <v>381.2</v>
      </c>
      <c r="C23" s="131">
        <v>59</v>
      </c>
      <c r="D23" s="131">
        <v>98.9</v>
      </c>
      <c r="E23" s="131">
        <v>107.8</v>
      </c>
      <c r="F23" s="131">
        <v>4.4000000000000004</v>
      </c>
      <c r="G23" s="131">
        <v>129.9</v>
      </c>
      <c r="H23" s="131">
        <f t="shared" si="3"/>
        <v>781.19999999999993</v>
      </c>
      <c r="I23" s="14"/>
      <c r="J23" s="24" t="s">
        <v>11</v>
      </c>
      <c r="K23" s="11">
        <v>10305.402</v>
      </c>
      <c r="L23" s="11">
        <v>7430.6350000000002</v>
      </c>
      <c r="M23" s="126">
        <v>10315.365407068</v>
      </c>
      <c r="O23" s="448">
        <f t="shared" si="2"/>
        <v>40848.993999999999</v>
      </c>
    </row>
    <row r="24" spans="1:15" ht="15.75" x14ac:dyDescent="0.25">
      <c r="A24" s="1" t="s">
        <v>12</v>
      </c>
      <c r="B24" s="131">
        <v>397.7</v>
      </c>
      <c r="C24" s="131">
        <v>45.8</v>
      </c>
      <c r="D24" s="131">
        <v>119.8</v>
      </c>
      <c r="E24" s="131">
        <v>85.9</v>
      </c>
      <c r="F24" s="131">
        <v>10.1</v>
      </c>
      <c r="G24" s="131">
        <v>80.400000000000006</v>
      </c>
      <c r="H24" s="131">
        <f t="shared" si="3"/>
        <v>739.69999999999993</v>
      </c>
      <c r="J24" s="24" t="s">
        <v>12</v>
      </c>
      <c r="K24" s="11">
        <v>10440.088</v>
      </c>
      <c r="L24" s="11">
        <v>8011.4289999999992</v>
      </c>
      <c r="M24" s="126">
        <v>10436.113099455601</v>
      </c>
      <c r="O24" s="448">
        <f t="shared" si="2"/>
        <v>41225.516000000003</v>
      </c>
    </row>
    <row r="25" spans="1:15" ht="15.75" x14ac:dyDescent="0.25">
      <c r="A25" s="1" t="s">
        <v>13</v>
      </c>
      <c r="B25" s="131">
        <v>387.4</v>
      </c>
      <c r="C25" s="131">
        <v>42</v>
      </c>
      <c r="D25" s="131">
        <v>214.5</v>
      </c>
      <c r="E25" s="131">
        <v>95.8</v>
      </c>
      <c r="F25" s="131">
        <v>16.899999999999999</v>
      </c>
      <c r="G25" s="131">
        <v>101.1</v>
      </c>
      <c r="H25" s="131">
        <f t="shared" si="3"/>
        <v>857.69999999999993</v>
      </c>
      <c r="J25" s="24" t="s">
        <v>13</v>
      </c>
      <c r="K25" s="11">
        <v>10240.790999999999</v>
      </c>
      <c r="L25" s="11">
        <v>7965.0779999999995</v>
      </c>
      <c r="M25" s="126">
        <v>10567.612488078699</v>
      </c>
      <c r="O25" s="448">
        <f t="shared" si="2"/>
        <v>41260.489000000001</v>
      </c>
    </row>
    <row r="26" spans="1:15" ht="15.75" x14ac:dyDescent="0.25">
      <c r="A26" s="1" t="s">
        <v>14</v>
      </c>
      <c r="B26" s="131">
        <v>381.73104000000001</v>
      </c>
      <c r="C26" s="131">
        <v>45.523800000000001</v>
      </c>
      <c r="D26" s="131">
        <v>153.76608412064252</v>
      </c>
      <c r="E26" s="131">
        <v>95.7</v>
      </c>
      <c r="F26" s="131">
        <v>15.4</v>
      </c>
      <c r="G26" s="131">
        <v>107.9</v>
      </c>
      <c r="H26" s="131">
        <f t="shared" si="3"/>
        <v>800.02092412064258</v>
      </c>
      <c r="J26" s="24" t="s">
        <v>14</v>
      </c>
      <c r="K26" s="11">
        <v>10464.380999999999</v>
      </c>
      <c r="L26" s="11">
        <v>8120.4649999999992</v>
      </c>
      <c r="M26" s="126">
        <v>10711.847693976601</v>
      </c>
      <c r="O26" s="448">
        <f t="shared" si="2"/>
        <v>41450.661999999997</v>
      </c>
    </row>
    <row r="27" spans="1:15" ht="15.75" x14ac:dyDescent="0.25">
      <c r="A27" s="1" t="s">
        <v>15</v>
      </c>
      <c r="B27" s="131">
        <v>416.37842999999998</v>
      </c>
      <c r="C27" s="131">
        <v>47.123100000000008</v>
      </c>
      <c r="D27" s="131">
        <v>103.75022796030225</v>
      </c>
      <c r="E27" s="131">
        <v>104.7</v>
      </c>
      <c r="F27" s="131">
        <v>9.6</v>
      </c>
      <c r="G27" s="131">
        <v>130.69999999999999</v>
      </c>
      <c r="H27" s="131">
        <f t="shared" si="3"/>
        <v>812.25175796030226</v>
      </c>
      <c r="J27" s="24" t="s">
        <v>15</v>
      </c>
      <c r="K27" s="11">
        <v>10816.002</v>
      </c>
      <c r="L27" s="11">
        <v>8335.8869999999988</v>
      </c>
      <c r="M27" s="126">
        <v>10867.5346133078</v>
      </c>
      <c r="O27" s="448">
        <f t="shared" si="2"/>
        <v>41961.262000000002</v>
      </c>
    </row>
    <row r="28" spans="1:15" ht="15.75" x14ac:dyDescent="0.25">
      <c r="A28" s="1" t="s">
        <v>16</v>
      </c>
      <c r="B28" s="131">
        <v>417.13379999999995</v>
      </c>
      <c r="C28" s="131">
        <v>48.586265553846083</v>
      </c>
      <c r="D28" s="131">
        <v>143.88342070320903</v>
      </c>
      <c r="E28" s="131">
        <v>90.1</v>
      </c>
      <c r="F28" s="131">
        <v>20</v>
      </c>
      <c r="G28" s="131">
        <v>80.900000000000006</v>
      </c>
      <c r="H28" s="131">
        <f t="shared" si="3"/>
        <v>800.60348625705501</v>
      </c>
      <c r="J28" s="24" t="s">
        <v>16</v>
      </c>
      <c r="K28" s="11">
        <v>11091.411</v>
      </c>
      <c r="L28" s="11">
        <v>8849.2729999999992</v>
      </c>
      <c r="M28" s="126">
        <v>11030.9144652908</v>
      </c>
      <c r="O28" s="448">
        <f t="shared" si="2"/>
        <v>42612.584999999999</v>
      </c>
    </row>
    <row r="29" spans="1:15" ht="15.75" x14ac:dyDescent="0.25">
      <c r="A29" s="1" t="s">
        <v>17</v>
      </c>
      <c r="B29" s="131">
        <v>422.64</v>
      </c>
      <c r="C29" s="131">
        <v>50.61418415319239</v>
      </c>
      <c r="D29" s="131">
        <v>251.48451102110735</v>
      </c>
      <c r="E29" s="131">
        <v>98.4</v>
      </c>
      <c r="F29" s="131">
        <v>23.9</v>
      </c>
      <c r="G29" s="131">
        <v>122.8</v>
      </c>
      <c r="H29" s="131">
        <f t="shared" si="3"/>
        <v>969.83869517429969</v>
      </c>
      <c r="J29" s="24" t="s">
        <v>17</v>
      </c>
      <c r="K29" s="11">
        <v>11282.549000000001</v>
      </c>
      <c r="L29" s="11">
        <v>9041.5960000000014</v>
      </c>
      <c r="M29" s="126">
        <v>11197.713123011299</v>
      </c>
      <c r="O29" s="448">
        <f t="shared" si="2"/>
        <v>43654.343000000001</v>
      </c>
    </row>
    <row r="30" spans="1:15" ht="15.75" x14ac:dyDescent="0.25">
      <c r="A30" s="1" t="s">
        <v>18</v>
      </c>
      <c r="B30" s="131">
        <v>417.64139999999998</v>
      </c>
      <c r="C30" s="131">
        <v>49.257527676851474</v>
      </c>
      <c r="D30" s="131">
        <v>188.54345054095137</v>
      </c>
      <c r="E30" s="131">
        <v>118.7</v>
      </c>
      <c r="F30" s="131">
        <v>23.9</v>
      </c>
      <c r="G30" s="131">
        <v>120.2</v>
      </c>
      <c r="H30" s="131">
        <f>SUM(B30:G30)</f>
        <v>918.24237821780287</v>
      </c>
      <c r="J30" s="24" t="s">
        <v>18</v>
      </c>
      <c r="K30" s="11">
        <v>11403.289000000001</v>
      </c>
      <c r="L30" s="11">
        <v>9207.469000000001</v>
      </c>
      <c r="M30" s="126">
        <v>11364.261414901801</v>
      </c>
      <c r="O30" s="448">
        <f t="shared" si="2"/>
        <v>44593.251000000004</v>
      </c>
    </row>
    <row r="31" spans="1:15" ht="15.75" x14ac:dyDescent="0.25">
      <c r="A31" s="1" t="s">
        <v>19</v>
      </c>
      <c r="B31" s="131">
        <v>462.22019999999998</v>
      </c>
      <c r="C31" s="131">
        <v>53.650993433759623</v>
      </c>
      <c r="D31" s="131">
        <v>118.01994441633148</v>
      </c>
      <c r="E31" s="131">
        <v>146.5</v>
      </c>
      <c r="F31" s="131">
        <v>20.3</v>
      </c>
      <c r="G31" s="131">
        <v>131.30000000000001</v>
      </c>
      <c r="H31" s="131">
        <f t="shared" si="3"/>
        <v>931.99113785009104</v>
      </c>
      <c r="J31" s="24" t="s">
        <v>19</v>
      </c>
      <c r="K31" s="11">
        <v>11629.460999999999</v>
      </c>
      <c r="L31" s="11">
        <v>9493.3230000000003</v>
      </c>
      <c r="M31" s="126">
        <v>11527.7385381649</v>
      </c>
      <c r="O31" s="448">
        <f t="shared" si="2"/>
        <v>45406.709999999992</v>
      </c>
    </row>
    <row r="32" spans="1:15" ht="15.75" x14ac:dyDescent="0.25">
      <c r="A32" s="1" t="s">
        <v>20</v>
      </c>
      <c r="B32" s="131">
        <v>479.63789999999995</v>
      </c>
      <c r="C32" s="131">
        <v>52.460999999999999</v>
      </c>
      <c r="D32" s="131">
        <v>147.17842564214652</v>
      </c>
      <c r="E32" s="131">
        <v>122.29468671572687</v>
      </c>
      <c r="F32" s="131">
        <v>14.64124314</v>
      </c>
      <c r="G32" s="131">
        <v>113.56409496999999</v>
      </c>
      <c r="H32" s="131">
        <f t="shared" si="3"/>
        <v>929.77735046787325</v>
      </c>
      <c r="J32" s="30" t="s">
        <v>20</v>
      </c>
      <c r="K32" s="11">
        <v>11771.814</v>
      </c>
      <c r="L32" s="11">
        <v>9858.2100000000009</v>
      </c>
      <c r="M32" s="126">
        <v>11685.7139758542</v>
      </c>
      <c r="O32" s="448">
        <f t="shared" si="2"/>
        <v>46087.112999999998</v>
      </c>
    </row>
    <row r="33" spans="1:15" ht="15.75" x14ac:dyDescent="0.25">
      <c r="A33" s="1" t="s">
        <v>21</v>
      </c>
      <c r="B33" s="131">
        <v>478.45691999999997</v>
      </c>
      <c r="C33" s="131">
        <v>54.873800000000003</v>
      </c>
      <c r="D33" s="131">
        <v>389.16326612659299</v>
      </c>
      <c r="E33" s="131">
        <v>137.37501070663444</v>
      </c>
      <c r="F33" s="131">
        <v>17.831335580000001</v>
      </c>
      <c r="G33" s="131">
        <v>154.6345718</v>
      </c>
      <c r="H33" s="131">
        <f t="shared" si="3"/>
        <v>1232.3349042132274</v>
      </c>
      <c r="J33" s="30" t="s">
        <v>21</v>
      </c>
      <c r="K33" s="11">
        <v>11936.392</v>
      </c>
      <c r="L33" s="11">
        <v>10221.018</v>
      </c>
      <c r="M33" s="126">
        <v>11836.774425641501</v>
      </c>
      <c r="O33" s="448">
        <f t="shared" si="2"/>
        <v>46740.955999999998</v>
      </c>
    </row>
    <row r="34" spans="1:15" ht="15.75" x14ac:dyDescent="0.25">
      <c r="A34" s="1" t="s">
        <v>22</v>
      </c>
      <c r="B34" s="131">
        <v>502.54541999999998</v>
      </c>
      <c r="C34" s="131">
        <v>56.3416</v>
      </c>
      <c r="D34" s="131">
        <v>257.82759486362909</v>
      </c>
      <c r="E34" s="131">
        <v>136.40425418594424</v>
      </c>
      <c r="F34" s="131">
        <v>17.088568209999998</v>
      </c>
      <c r="G34" s="131">
        <v>140.59079514000001</v>
      </c>
      <c r="H34" s="131">
        <f t="shared" si="3"/>
        <v>1110.7982323995732</v>
      </c>
      <c r="J34" s="30" t="s">
        <v>22</v>
      </c>
      <c r="K34" s="11">
        <v>11951.919</v>
      </c>
      <c r="L34" s="11">
        <v>10645.973</v>
      </c>
      <c r="M34" s="126">
        <v>11980.3675454401</v>
      </c>
      <c r="O34" s="448">
        <f t="shared" si="2"/>
        <v>47289.586000000003</v>
      </c>
    </row>
    <row r="35" spans="1:15" ht="15.75" x14ac:dyDescent="0.25">
      <c r="A35" s="1" t="s">
        <v>23</v>
      </c>
      <c r="B35" s="131">
        <v>514.23813000000007</v>
      </c>
      <c r="C35" s="131">
        <v>56.952199999999998</v>
      </c>
      <c r="D35" s="131">
        <v>142.38379361054837</v>
      </c>
      <c r="E35" s="131">
        <v>150.46870939682532</v>
      </c>
      <c r="F35" s="131">
        <v>12.817698119999999</v>
      </c>
      <c r="G35" s="131">
        <v>334.53423517555552</v>
      </c>
      <c r="H35" s="131">
        <f t="shared" si="3"/>
        <v>1211.3947663029294</v>
      </c>
      <c r="J35" s="30" t="s">
        <v>23</v>
      </c>
      <c r="K35" s="11">
        <v>12149.194</v>
      </c>
      <c r="L35" s="11">
        <v>10781.884</v>
      </c>
      <c r="M35" s="126">
        <v>12116.9371489069</v>
      </c>
      <c r="O35" s="448">
        <f t="shared" si="2"/>
        <v>47809.319000000003</v>
      </c>
    </row>
    <row r="36" spans="1:15" ht="15.75" x14ac:dyDescent="0.25">
      <c r="A36" s="1" t="s">
        <v>24</v>
      </c>
      <c r="B36" s="131">
        <v>524.13831000000005</v>
      </c>
      <c r="C36" s="131">
        <v>60.128399999999999</v>
      </c>
      <c r="D36" s="131">
        <v>180.20068513155462</v>
      </c>
      <c r="E36" s="131">
        <v>137.2161084336</v>
      </c>
      <c r="F36" s="131">
        <v>12.90018332</v>
      </c>
      <c r="G36" s="131">
        <v>102.73286887333332</v>
      </c>
      <c r="H36" s="131">
        <f t="shared" si="3"/>
        <v>1017.316555758488</v>
      </c>
      <c r="J36" s="30" t="s">
        <v>24</v>
      </c>
      <c r="K36" s="11">
        <v>12278.116</v>
      </c>
      <c r="L36" s="11">
        <v>11312.589</v>
      </c>
      <c r="M36" s="126">
        <v>12246.642574244501</v>
      </c>
      <c r="O36" s="448">
        <f t="shared" si="2"/>
        <v>48315.621000000006</v>
      </c>
    </row>
    <row r="37" spans="1:15" ht="15.75" x14ac:dyDescent="0.25">
      <c r="A37" s="1" t="s">
        <v>25</v>
      </c>
      <c r="B37" s="131">
        <v>558.23616000000004</v>
      </c>
      <c r="C37" s="131">
        <v>59.39</v>
      </c>
      <c r="D37" s="131">
        <v>515.11553039485932</v>
      </c>
      <c r="E37" s="131">
        <v>151.78188763333753</v>
      </c>
      <c r="F37" s="131">
        <v>21.795878590000001</v>
      </c>
      <c r="G37" s="131">
        <v>190.25056237333331</v>
      </c>
      <c r="H37" s="131">
        <f t="shared" si="3"/>
        <v>1496.5700189915301</v>
      </c>
      <c r="J37" s="30" t="s">
        <v>25</v>
      </c>
      <c r="K37" s="11">
        <v>12447.026</v>
      </c>
      <c r="L37" s="11">
        <v>11727.183999999999</v>
      </c>
      <c r="M37" s="126">
        <v>12369.9656881663</v>
      </c>
      <c r="O37" s="448">
        <f t="shared" si="2"/>
        <v>48826.254999999997</v>
      </c>
    </row>
    <row r="38" spans="1:15" ht="15.75" x14ac:dyDescent="0.25">
      <c r="A38" s="1" t="s">
        <v>26</v>
      </c>
      <c r="B38" s="131">
        <v>572.20974000000001</v>
      </c>
      <c r="C38" s="131">
        <v>75.494599999999991</v>
      </c>
      <c r="D38" s="131">
        <v>262.08722117115093</v>
      </c>
      <c r="E38" s="131">
        <v>161.94636992775833</v>
      </c>
      <c r="F38" s="131">
        <v>19.80616951</v>
      </c>
      <c r="G38" s="131">
        <v>248.86769009666668</v>
      </c>
      <c r="H38" s="131">
        <f t="shared" si="3"/>
        <v>1340.4117907055759</v>
      </c>
      <c r="J38" s="30" t="s">
        <v>26</v>
      </c>
      <c r="K38" s="11">
        <v>12592.998</v>
      </c>
      <c r="L38" s="11">
        <v>11941.733</v>
      </c>
      <c r="M38" s="126">
        <v>12487.7031316433</v>
      </c>
      <c r="O38" s="448">
        <f t="shared" si="2"/>
        <v>49467.333999999995</v>
      </c>
    </row>
    <row r="39" spans="1:15" ht="15.75" x14ac:dyDescent="0.25">
      <c r="A39" s="1" t="s">
        <v>27</v>
      </c>
      <c r="B39" s="131">
        <v>573.63939000000005</v>
      </c>
      <c r="C39" s="131">
        <v>62.348499999999987</v>
      </c>
      <c r="D39" s="131">
        <v>158.27350222996347</v>
      </c>
      <c r="E39" s="131">
        <v>167.24923913455837</v>
      </c>
      <c r="F39" s="131">
        <v>17.635455459999999</v>
      </c>
      <c r="G39" s="131">
        <v>390.61930384989995</v>
      </c>
      <c r="H39" s="131">
        <f t="shared" si="3"/>
        <v>1369.7653906744217</v>
      </c>
      <c r="J39" s="30" t="s">
        <v>27</v>
      </c>
      <c r="K39" s="11">
        <v>12596.475</v>
      </c>
      <c r="L39" s="11">
        <v>11820.538</v>
      </c>
      <c r="M39" s="126">
        <v>12601.4221887649</v>
      </c>
      <c r="O39" s="448">
        <f t="shared" si="2"/>
        <v>49914.614999999998</v>
      </c>
    </row>
    <row r="40" spans="1:15" ht="15.75" x14ac:dyDescent="0.25">
      <c r="A40" s="1" t="s">
        <v>28</v>
      </c>
      <c r="B40" s="131">
        <v>592.03341</v>
      </c>
      <c r="C40" s="131">
        <v>55.710166666666666</v>
      </c>
      <c r="D40" s="131">
        <v>189.24348152054006</v>
      </c>
      <c r="E40" s="131">
        <v>147.1853164</v>
      </c>
      <c r="F40" s="131">
        <v>14.420426050000001</v>
      </c>
      <c r="G40" s="131">
        <v>186.89339704083329</v>
      </c>
      <c r="H40" s="131">
        <f t="shared" si="3"/>
        <v>1185.4861976780398</v>
      </c>
      <c r="J40" s="30" t="s">
        <v>28</v>
      </c>
      <c r="K40" s="11">
        <v>12548.684999999999</v>
      </c>
      <c r="L40" s="11">
        <v>11972.100999999999</v>
      </c>
      <c r="M40" s="126">
        <v>12713.7431123039</v>
      </c>
      <c r="O40" s="448">
        <f t="shared" si="2"/>
        <v>50185.183999999994</v>
      </c>
    </row>
    <row r="41" spans="1:15" ht="15.75" x14ac:dyDescent="0.25">
      <c r="A41" s="1" t="s">
        <v>29</v>
      </c>
      <c r="B41" s="131">
        <v>580.09617000000003</v>
      </c>
      <c r="C41" s="131">
        <v>52.313400000000001</v>
      </c>
      <c r="D41" s="131">
        <v>465.58978219985693</v>
      </c>
      <c r="E41" s="131">
        <v>158.23859299253752</v>
      </c>
      <c r="F41" s="131">
        <v>19.841752700000001</v>
      </c>
      <c r="G41" s="131">
        <v>575.30630510694448</v>
      </c>
      <c r="H41" s="131">
        <f t="shared" si="3"/>
        <v>1851.3860029993389</v>
      </c>
      <c r="J41" s="30" t="s">
        <v>29</v>
      </c>
      <c r="K41" s="11">
        <v>12641.374</v>
      </c>
      <c r="L41" s="11">
        <v>12483.035</v>
      </c>
      <c r="M41" s="126">
        <v>12827.236733145601</v>
      </c>
      <c r="O41" s="448">
        <f t="shared" si="2"/>
        <v>50379.531999999992</v>
      </c>
    </row>
    <row r="42" spans="1:15" ht="15.75" x14ac:dyDescent="0.25">
      <c r="A42" s="1" t="s">
        <v>30</v>
      </c>
      <c r="B42" s="131">
        <v>655.11558000000002</v>
      </c>
      <c r="C42" s="131">
        <v>49.6524</v>
      </c>
      <c r="D42" s="131">
        <v>361.15426233214293</v>
      </c>
      <c r="E42" s="131">
        <v>167.38351950435836</v>
      </c>
      <c r="F42" s="131">
        <v>25.613067869999998</v>
      </c>
      <c r="G42" s="131">
        <v>569.1597363471667</v>
      </c>
      <c r="H42" s="131">
        <f t="shared" si="3"/>
        <v>1828.0785660536681</v>
      </c>
      <c r="J42" s="30" t="s">
        <v>30</v>
      </c>
      <c r="K42" s="11">
        <v>12821.498</v>
      </c>
      <c r="L42" s="11">
        <v>12923.037</v>
      </c>
      <c r="M42" s="126">
        <v>12942.8233510523</v>
      </c>
      <c r="O42" s="448">
        <f t="shared" si="2"/>
        <v>50608.031999999999</v>
      </c>
    </row>
    <row r="43" spans="1:15" ht="15.75" x14ac:dyDescent="0.25">
      <c r="A43" s="1" t="s">
        <v>31</v>
      </c>
      <c r="B43" s="131">
        <v>681.52410000000009</v>
      </c>
      <c r="C43" s="131">
        <v>62.130399999999995</v>
      </c>
      <c r="D43" s="131">
        <v>252.02900742111473</v>
      </c>
      <c r="E43" s="131">
        <v>205.77449962435833</v>
      </c>
      <c r="F43" s="131">
        <v>14.37520063</v>
      </c>
      <c r="G43" s="131">
        <v>645.11917725682918</v>
      </c>
      <c r="H43" s="131">
        <f t="shared" si="3"/>
        <v>1860.9523849323023</v>
      </c>
      <c r="J43" s="30" t="s">
        <v>31</v>
      </c>
      <c r="K43" s="11">
        <v>12996.22</v>
      </c>
      <c r="L43" s="11">
        <v>13629.604000000001</v>
      </c>
      <c r="M43" s="126">
        <v>13059.564598454701</v>
      </c>
      <c r="O43" s="448">
        <f t="shared" si="2"/>
        <v>51007.777000000002</v>
      </c>
    </row>
    <row r="44" spans="1:15" ht="15.75" x14ac:dyDescent="0.25">
      <c r="A44" s="1" t="s">
        <v>32</v>
      </c>
      <c r="B44" s="131">
        <v>659.208622203</v>
      </c>
      <c r="C44" s="131">
        <v>129.6104</v>
      </c>
      <c r="D44" s="131">
        <v>418.72789827999998</v>
      </c>
      <c r="E44" s="131">
        <v>170.49422883</v>
      </c>
      <c r="F44" s="131">
        <v>34.13118781</v>
      </c>
      <c r="G44" s="131">
        <v>478.02944434031173</v>
      </c>
      <c r="H44" s="131">
        <f t="shared" ref="H44:H87" si="4">SUM(B44:G44)</f>
        <v>1890.2017814633118</v>
      </c>
      <c r="J44" s="30" t="s">
        <v>32</v>
      </c>
      <c r="K44" s="11">
        <v>13203.59</v>
      </c>
      <c r="L44" s="11">
        <v>14505.870999999999</v>
      </c>
      <c r="M44" s="126">
        <v>13175.3088742731</v>
      </c>
      <c r="O44" s="448">
        <f t="shared" si="2"/>
        <v>51662.682000000001</v>
      </c>
    </row>
    <row r="45" spans="1:15" ht="15.75" x14ac:dyDescent="0.25">
      <c r="A45" s="1" t="s">
        <v>33</v>
      </c>
      <c r="B45" s="131">
        <v>647.1978927209999</v>
      </c>
      <c r="C45" s="131">
        <v>95.119499999999988</v>
      </c>
      <c r="D45" s="131">
        <v>771.87421909</v>
      </c>
      <c r="E45" s="131">
        <v>199.37646734</v>
      </c>
      <c r="F45" s="131">
        <v>34.794175729999999</v>
      </c>
      <c r="G45" s="131">
        <v>265.47194809446432</v>
      </c>
      <c r="H45" s="131">
        <f t="shared" si="4"/>
        <v>2013.8342029754642</v>
      </c>
      <c r="J45" s="30" t="s">
        <v>33</v>
      </c>
      <c r="K45" s="11">
        <v>13437.956</v>
      </c>
      <c r="L45" s="11">
        <v>15788.923000000001</v>
      </c>
      <c r="M45" s="126">
        <v>13287.2711314431</v>
      </c>
      <c r="O45" s="448">
        <f t="shared" si="2"/>
        <v>52459.264000000003</v>
      </c>
    </row>
    <row r="46" spans="1:15" ht="15.75" x14ac:dyDescent="0.25">
      <c r="A46" s="1" t="s">
        <v>34</v>
      </c>
      <c r="B46" s="131">
        <v>778.31440311599999</v>
      </c>
      <c r="C46" s="131">
        <v>108.39830000000001</v>
      </c>
      <c r="D46" s="131">
        <v>659.61847342999999</v>
      </c>
      <c r="E46" s="131">
        <v>204.82567923639743</v>
      </c>
      <c r="F46" s="131">
        <v>39.920591880000003</v>
      </c>
      <c r="G46" s="131">
        <v>848.96995368375588</v>
      </c>
      <c r="H46" s="131">
        <f t="shared" si="4"/>
        <v>2640.0474013461535</v>
      </c>
      <c r="J46" s="30" t="s">
        <v>34</v>
      </c>
      <c r="K46" s="11">
        <v>13689.235000000001</v>
      </c>
      <c r="L46" s="11">
        <v>16213.465</v>
      </c>
      <c r="M46" s="126">
        <v>13392.9491341577</v>
      </c>
      <c r="O46" s="448">
        <f t="shared" si="2"/>
        <v>53327.000999999997</v>
      </c>
    </row>
    <row r="47" spans="1:15" ht="15.75" x14ac:dyDescent="0.25">
      <c r="A47" s="1" t="s">
        <v>35</v>
      </c>
      <c r="B47" s="131">
        <v>740.19663999999989</v>
      </c>
      <c r="C47" s="131">
        <v>140.47449999999998</v>
      </c>
      <c r="D47" s="131">
        <v>488.42033657000002</v>
      </c>
      <c r="E47" s="131">
        <v>214.56355941495121</v>
      </c>
      <c r="F47" s="131">
        <v>34.506853919999998</v>
      </c>
      <c r="G47" s="131">
        <v>994.9979612143801</v>
      </c>
      <c r="H47" s="131">
        <f t="shared" si="4"/>
        <v>2613.1598511193311</v>
      </c>
      <c r="J47" s="30" t="s">
        <v>35</v>
      </c>
      <c r="K47" s="11">
        <v>13919.627</v>
      </c>
      <c r="L47" s="11">
        <v>15254.376</v>
      </c>
      <c r="M47" s="126">
        <v>13491.347535295499</v>
      </c>
      <c r="O47" s="448">
        <f t="shared" si="2"/>
        <v>54250.408000000003</v>
      </c>
    </row>
    <row r="48" spans="1:15" ht="15.75" x14ac:dyDescent="0.25">
      <c r="A48" s="1" t="s">
        <v>36</v>
      </c>
      <c r="B48" s="131">
        <v>792.73930375000009</v>
      </c>
      <c r="C48" s="131">
        <v>118.312443</v>
      </c>
      <c r="D48" s="131">
        <v>424.61449999999996</v>
      </c>
      <c r="E48" s="131">
        <v>217.75150222000002</v>
      </c>
      <c r="F48" s="131">
        <v>23.815173399999999</v>
      </c>
      <c r="G48" s="131">
        <v>249.33752521840671</v>
      </c>
      <c r="H48" s="131">
        <f t="shared" si="4"/>
        <v>1826.5704475884068</v>
      </c>
      <c r="J48" s="30" t="s">
        <v>36</v>
      </c>
      <c r="K48" s="11">
        <v>13721.197</v>
      </c>
      <c r="L48" s="11">
        <v>15022.003000000001</v>
      </c>
      <c r="M48" s="126">
        <v>13584.4338963932</v>
      </c>
      <c r="O48" s="448">
        <f t="shared" si="2"/>
        <v>54768.014999999999</v>
      </c>
    </row>
    <row r="49" spans="1:15" ht="15.75" x14ac:dyDescent="0.25">
      <c r="A49" s="1" t="s">
        <v>37</v>
      </c>
      <c r="B49" s="131">
        <v>701.90186456430501</v>
      </c>
      <c r="C49" s="131">
        <v>96.972000000000008</v>
      </c>
      <c r="D49" s="131">
        <v>978.35500000000002</v>
      </c>
      <c r="E49" s="131">
        <v>264.29399768000002</v>
      </c>
      <c r="F49" s="131">
        <v>33.671234883136059</v>
      </c>
      <c r="G49" s="131">
        <v>329.20987379483535</v>
      </c>
      <c r="H49" s="131">
        <f t="shared" si="4"/>
        <v>2404.4039709222766</v>
      </c>
      <c r="J49" s="30" t="s">
        <v>37</v>
      </c>
      <c r="K49" s="11">
        <v>13663.73</v>
      </c>
      <c r="L49" s="11">
        <v>15588.869000000001</v>
      </c>
      <c r="M49" s="126">
        <v>13678.458603635099</v>
      </c>
      <c r="O49" s="448">
        <f t="shared" si="2"/>
        <v>54993.789000000004</v>
      </c>
    </row>
    <row r="50" spans="1:15" ht="15.75" x14ac:dyDescent="0.25">
      <c r="A50" s="1" t="s">
        <v>38</v>
      </c>
      <c r="B50" s="131">
        <v>720.45363477910337</v>
      </c>
      <c r="C50" s="131">
        <v>104.7971</v>
      </c>
      <c r="D50" s="131">
        <v>695.36069999999995</v>
      </c>
      <c r="E50" s="131">
        <v>239.78939102999999</v>
      </c>
      <c r="F50" s="131">
        <v>94.129104609999985</v>
      </c>
      <c r="G50" s="131">
        <v>468.77420216495506</v>
      </c>
      <c r="H50" s="131">
        <f t="shared" si="4"/>
        <v>2323.3041325840582</v>
      </c>
      <c r="J50" s="30" t="s">
        <v>38</v>
      </c>
      <c r="K50" s="11">
        <v>13579.504999999999</v>
      </c>
      <c r="L50" s="11">
        <v>15779.977000000001</v>
      </c>
      <c r="M50" s="126">
        <v>13781.039704241</v>
      </c>
      <c r="O50" s="448">
        <f t="shared" si="2"/>
        <v>54884.059000000001</v>
      </c>
    </row>
    <row r="51" spans="1:15" ht="15.75" x14ac:dyDescent="0.25">
      <c r="A51" s="1" t="s">
        <v>39</v>
      </c>
      <c r="B51" s="131">
        <v>803.44893894315464</v>
      </c>
      <c r="C51" s="131">
        <v>128.0487</v>
      </c>
      <c r="D51" s="131">
        <v>419.17399999999998</v>
      </c>
      <c r="E51" s="131">
        <v>317.23132077000002</v>
      </c>
      <c r="F51" s="131">
        <v>81.838489586441383</v>
      </c>
      <c r="G51" s="131">
        <v>980.7332563007642</v>
      </c>
      <c r="H51" s="131">
        <f t="shared" si="4"/>
        <v>2730.4747056003607</v>
      </c>
      <c r="J51" s="30" t="s">
        <v>39</v>
      </c>
      <c r="K51" s="11">
        <v>13593.3</v>
      </c>
      <c r="L51" s="11">
        <v>16128.837</v>
      </c>
      <c r="M51" s="126">
        <v>13899.647959394801</v>
      </c>
      <c r="O51" s="448">
        <f t="shared" si="2"/>
        <v>54557.732000000004</v>
      </c>
    </row>
    <row r="52" spans="1:15" ht="15.75" x14ac:dyDescent="0.25">
      <c r="A52" s="1" t="s">
        <v>40</v>
      </c>
      <c r="B52" s="131">
        <v>1031.5294391376269</v>
      </c>
      <c r="C52" s="131">
        <v>117.1306</v>
      </c>
      <c r="D52" s="131">
        <v>475.31389999999999</v>
      </c>
      <c r="E52" s="131">
        <v>352.89391350000005</v>
      </c>
      <c r="F52" s="131">
        <v>154.2869</v>
      </c>
      <c r="G52" s="131">
        <v>480.00329578506086</v>
      </c>
      <c r="H52" s="131">
        <f t="shared" si="4"/>
        <v>2611.1580484226879</v>
      </c>
      <c r="J52" s="30" t="s">
        <v>40</v>
      </c>
      <c r="K52" s="11">
        <v>13729.815000000001</v>
      </c>
      <c r="L52" s="11">
        <v>16762.628000000001</v>
      </c>
      <c r="M52" s="126">
        <v>14039.738833237599</v>
      </c>
      <c r="O52" s="448">
        <f t="shared" si="2"/>
        <v>54566.350000000006</v>
      </c>
    </row>
    <row r="53" spans="1:15" ht="15.75" x14ac:dyDescent="0.25">
      <c r="A53" s="1" t="s">
        <v>41</v>
      </c>
      <c r="B53" s="131">
        <v>980.18905917801749</v>
      </c>
      <c r="C53" s="131">
        <v>134.69970000000001</v>
      </c>
      <c r="D53" s="131">
        <v>781.14499999999998</v>
      </c>
      <c r="E53" s="131">
        <v>403.4579172</v>
      </c>
      <c r="F53" s="131">
        <v>91.921700000000001</v>
      </c>
      <c r="G53" s="131">
        <v>390.82193567035569</v>
      </c>
      <c r="H53" s="131">
        <f t="shared" si="4"/>
        <v>2782.2353120483731</v>
      </c>
      <c r="J53" s="30" t="s">
        <v>41</v>
      </c>
      <c r="K53" s="11">
        <v>13946.255999999999</v>
      </c>
      <c r="L53" s="11">
        <v>17070.794999999998</v>
      </c>
      <c r="M53" s="126">
        <v>14203.7043103169</v>
      </c>
      <c r="O53" s="448">
        <f t="shared" si="2"/>
        <v>54848.876000000004</v>
      </c>
    </row>
    <row r="54" spans="1:15" ht="15.75" x14ac:dyDescent="0.25">
      <c r="A54" s="1" t="s">
        <v>42</v>
      </c>
      <c r="B54" s="131">
        <v>881.24951364595904</v>
      </c>
      <c r="C54" s="131">
        <v>128.83960000000002</v>
      </c>
      <c r="D54" s="131">
        <v>649.84129999999993</v>
      </c>
      <c r="E54" s="131">
        <v>406.30380406</v>
      </c>
      <c r="F54" s="131">
        <v>107.92609999999999</v>
      </c>
      <c r="G54" s="131">
        <v>343.30584120025514</v>
      </c>
      <c r="H54" s="131">
        <f t="shared" si="4"/>
        <v>2517.4661589062143</v>
      </c>
      <c r="J54" s="30" t="s">
        <v>42</v>
      </c>
      <c r="K54" s="11">
        <v>14175.891</v>
      </c>
      <c r="L54" s="11">
        <v>17429.358</v>
      </c>
      <c r="M54" s="126">
        <v>14390.837186847601</v>
      </c>
      <c r="O54" s="448">
        <f t="shared" si="2"/>
        <v>55445.262000000002</v>
      </c>
    </row>
    <row r="55" spans="1:15" ht="15.75" x14ac:dyDescent="0.25">
      <c r="A55" s="1" t="s">
        <v>43</v>
      </c>
      <c r="B55" s="131">
        <v>993.15810386033354</v>
      </c>
      <c r="C55" s="131">
        <v>149.57061231999998</v>
      </c>
      <c r="D55" s="131">
        <v>446.81110000000001</v>
      </c>
      <c r="E55" s="131">
        <v>417.50761705000002</v>
      </c>
      <c r="F55" s="131">
        <v>90.015900000000002</v>
      </c>
      <c r="G55" s="131">
        <v>656.80242848644502</v>
      </c>
      <c r="H55" s="131">
        <f t="shared" si="4"/>
        <v>2753.8657617167787</v>
      </c>
      <c r="J55" s="30" t="s">
        <v>43</v>
      </c>
      <c r="K55" s="11">
        <v>14629.093000000001</v>
      </c>
      <c r="L55" s="11">
        <v>18292.585999999999</v>
      </c>
      <c r="M55" s="126">
        <v>14597.855815941501</v>
      </c>
      <c r="O55" s="448">
        <f t="shared" si="2"/>
        <v>56481.055</v>
      </c>
    </row>
    <row r="56" spans="1:15" ht="15.75" x14ac:dyDescent="0.25">
      <c r="A56" s="1" t="s">
        <v>44</v>
      </c>
      <c r="B56" s="131">
        <v>927.66980000000001</v>
      </c>
      <c r="C56" s="131">
        <v>139.95070000000001</v>
      </c>
      <c r="D56" s="131">
        <v>683.60648525193028</v>
      </c>
      <c r="E56" s="131">
        <v>386.26012336999997</v>
      </c>
      <c r="F56" s="131">
        <v>76.059446000000008</v>
      </c>
      <c r="G56" s="131">
        <v>244.9110158180913</v>
      </c>
      <c r="H56" s="131">
        <f t="shared" si="4"/>
        <v>2458.4575704400213</v>
      </c>
      <c r="J56" s="30" t="s">
        <v>44</v>
      </c>
      <c r="K56" s="11">
        <v>14790.364</v>
      </c>
      <c r="L56" s="11">
        <v>18922.955000000002</v>
      </c>
      <c r="M56" s="126">
        <v>14819.3290788419</v>
      </c>
      <c r="O56" s="448">
        <f t="shared" si="2"/>
        <v>57541.603999999999</v>
      </c>
    </row>
    <row r="57" spans="1:15" ht="15.75" x14ac:dyDescent="0.25">
      <c r="A57" s="1" t="s">
        <v>45</v>
      </c>
      <c r="B57" s="131">
        <v>1004.4958999999999</v>
      </c>
      <c r="C57" s="131">
        <v>150.74119999999999</v>
      </c>
      <c r="D57" s="131">
        <v>1057.5002999999999</v>
      </c>
      <c r="E57" s="131">
        <v>410.58165683162935</v>
      </c>
      <c r="F57" s="131">
        <v>54.1492</v>
      </c>
      <c r="G57" s="131">
        <v>391.40772823473668</v>
      </c>
      <c r="H57" s="131">
        <f t="shared" si="4"/>
        <v>3068.875985066366</v>
      </c>
      <c r="J57" s="30" t="s">
        <v>45</v>
      </c>
      <c r="K57" s="11">
        <v>15176.741</v>
      </c>
      <c r="L57" s="11">
        <v>19728.114000000001</v>
      </c>
      <c r="M57" s="126">
        <v>15050.1381986329</v>
      </c>
      <c r="O57" s="448">
        <f t="shared" si="2"/>
        <v>58772.089</v>
      </c>
    </row>
    <row r="58" spans="1:15" ht="15.75" x14ac:dyDescent="0.25">
      <c r="A58" s="1" t="s">
        <v>46</v>
      </c>
      <c r="B58" s="131">
        <v>1024.9775884000001</v>
      </c>
      <c r="C58" s="131">
        <v>152.65530000000001</v>
      </c>
      <c r="D58" s="131">
        <v>723.96050000000002</v>
      </c>
      <c r="E58" s="131">
        <v>434.33602843775287</v>
      </c>
      <c r="F58" s="131">
        <v>39.3247</v>
      </c>
      <c r="G58" s="131">
        <v>291.32612578622178</v>
      </c>
      <c r="H58" s="131">
        <f t="shared" si="4"/>
        <v>2666.5802426239748</v>
      </c>
      <c r="J58" s="30" t="s">
        <v>46</v>
      </c>
      <c r="K58" s="11">
        <v>15409.102999999999</v>
      </c>
      <c r="L58" s="11">
        <v>19968.47</v>
      </c>
      <c r="M58" s="126">
        <v>15284.874707609801</v>
      </c>
      <c r="O58" s="448">
        <f t="shared" si="2"/>
        <v>60005.301000000007</v>
      </c>
    </row>
    <row r="59" spans="1:15" ht="15.75" x14ac:dyDescent="0.25">
      <c r="A59" s="1" t="s">
        <v>47</v>
      </c>
      <c r="B59" s="131">
        <v>1243.2467999999999</v>
      </c>
      <c r="C59" s="131">
        <v>174.52339999999998</v>
      </c>
      <c r="D59" s="131">
        <v>565.13560000000007</v>
      </c>
      <c r="E59" s="131">
        <v>483.21586086775289</v>
      </c>
      <c r="F59" s="131">
        <v>32.909299999999995</v>
      </c>
      <c r="G59" s="131">
        <v>534.10173208749995</v>
      </c>
      <c r="H59" s="131">
        <f t="shared" si="4"/>
        <v>3033.1326929552524</v>
      </c>
      <c r="J59" s="30" t="s">
        <v>47</v>
      </c>
      <c r="K59" s="11">
        <v>15548.856</v>
      </c>
      <c r="L59" s="11">
        <v>20657.125</v>
      </c>
      <c r="M59" s="126">
        <v>15519.396156082001</v>
      </c>
      <c r="O59" s="448">
        <f t="shared" si="2"/>
        <v>60925.063999999998</v>
      </c>
    </row>
    <row r="60" spans="1:15" ht="15.75" x14ac:dyDescent="0.25">
      <c r="A60" s="1" t="s">
        <v>48</v>
      </c>
      <c r="B60" s="131">
        <v>1323.3988999999999</v>
      </c>
      <c r="C60" s="131">
        <v>151.54079999999999</v>
      </c>
      <c r="D60" s="131">
        <v>693.49770000000001</v>
      </c>
      <c r="E60" s="131">
        <v>601.23839199999998</v>
      </c>
      <c r="F60" s="131">
        <v>78.038900000000012</v>
      </c>
      <c r="G60" s="131">
        <v>213.20324349304161</v>
      </c>
      <c r="H60" s="131">
        <f t="shared" si="4"/>
        <v>3060.9179354930416</v>
      </c>
      <c r="I60" s="68"/>
      <c r="J60" s="30" t="s">
        <v>48</v>
      </c>
      <c r="K60" s="11">
        <v>15798.59</v>
      </c>
      <c r="L60" s="11">
        <v>21622.937000000002</v>
      </c>
      <c r="M60" s="126">
        <v>15750.802347282501</v>
      </c>
      <c r="O60" s="448">
        <f t="shared" si="2"/>
        <v>61933.289999999994</v>
      </c>
    </row>
    <row r="61" spans="1:15" ht="15.75" x14ac:dyDescent="0.25">
      <c r="A61" s="1" t="s">
        <v>49</v>
      </c>
      <c r="B61" s="131">
        <v>1297.2386999999999</v>
      </c>
      <c r="C61" s="131">
        <v>174.86679999999998</v>
      </c>
      <c r="D61" s="131">
        <v>1213.6315</v>
      </c>
      <c r="E61" s="131">
        <v>610.82972053999993</v>
      </c>
      <c r="F61" s="131">
        <v>80.28479999999999</v>
      </c>
      <c r="G61" s="131">
        <v>284.97123115673446</v>
      </c>
      <c r="H61" s="131">
        <f t="shared" si="4"/>
        <v>3661.8227516967345</v>
      </c>
      <c r="I61" s="68"/>
      <c r="J61" s="30" t="s">
        <v>49</v>
      </c>
      <c r="K61" s="11">
        <v>16072.842000000001</v>
      </c>
      <c r="L61" s="11">
        <v>21908.844000000001</v>
      </c>
      <c r="M61" s="126">
        <v>15976.487722883499</v>
      </c>
      <c r="O61" s="448">
        <f t="shared" si="2"/>
        <v>62829.391000000003</v>
      </c>
    </row>
    <row r="62" spans="1:15" ht="15.75" x14ac:dyDescent="0.25">
      <c r="A62" s="1" t="s">
        <v>50</v>
      </c>
      <c r="B62" s="131">
        <v>1362.97</v>
      </c>
      <c r="C62" s="131">
        <v>180.20960000000002</v>
      </c>
      <c r="D62" s="131">
        <v>780.53919999999994</v>
      </c>
      <c r="E62" s="131">
        <v>645.43799100000001</v>
      </c>
      <c r="F62" s="131">
        <v>76.510799999999989</v>
      </c>
      <c r="G62" s="131">
        <v>268.55425120415987</v>
      </c>
      <c r="H62" s="131">
        <f t="shared" si="4"/>
        <v>3314.2218422041592</v>
      </c>
      <c r="I62" s="114"/>
      <c r="J62" s="30" t="s">
        <v>50</v>
      </c>
      <c r="K62" s="11">
        <v>16196.959000000001</v>
      </c>
      <c r="L62" s="11">
        <v>22106.937000000002</v>
      </c>
      <c r="M62" s="126">
        <v>16194.3246010845</v>
      </c>
      <c r="O62" s="448">
        <f t="shared" si="2"/>
        <v>63617.247000000003</v>
      </c>
    </row>
    <row r="63" spans="1:15" ht="15.75" x14ac:dyDescent="0.25">
      <c r="A63" s="1" t="s">
        <v>51</v>
      </c>
      <c r="B63" s="131">
        <v>1431.3703999999998</v>
      </c>
      <c r="C63" s="131">
        <v>177.88560000000001</v>
      </c>
      <c r="D63" s="131">
        <v>625.26419999999996</v>
      </c>
      <c r="E63" s="131">
        <v>678.92039100000011</v>
      </c>
      <c r="F63" s="131">
        <v>71.011400000000009</v>
      </c>
      <c r="G63" s="131">
        <v>415.86079026153578</v>
      </c>
      <c r="H63" s="131">
        <f t="shared" si="4"/>
        <v>3400.3127812615357</v>
      </c>
      <c r="I63" s="68"/>
      <c r="J63" s="30" t="s">
        <v>51</v>
      </c>
      <c r="K63" s="11">
        <v>16294.041999999999</v>
      </c>
      <c r="L63" s="11">
        <v>22285.826000000001</v>
      </c>
      <c r="M63" s="126">
        <v>16403.148822856099</v>
      </c>
      <c r="O63" s="448">
        <f t="shared" si="2"/>
        <v>64362.433000000005</v>
      </c>
    </row>
    <row r="64" spans="1:15" ht="15.75" x14ac:dyDescent="0.25">
      <c r="A64" s="1" t="s">
        <v>127</v>
      </c>
      <c r="B64" s="131">
        <v>1500.5059000000001</v>
      </c>
      <c r="C64" s="131">
        <v>182.26094465</v>
      </c>
      <c r="D64" s="131">
        <v>788.87959999999998</v>
      </c>
      <c r="E64" s="131">
        <v>657.94421499999999</v>
      </c>
      <c r="F64" s="131">
        <v>96.723600000000005</v>
      </c>
      <c r="G64" s="131">
        <v>467.33381526999989</v>
      </c>
      <c r="H64" s="131">
        <f t="shared" si="4"/>
        <v>3693.64807492</v>
      </c>
      <c r="I64" s="68"/>
      <c r="J64" s="30" t="s">
        <v>127</v>
      </c>
      <c r="K64" s="11">
        <v>16458.713</v>
      </c>
      <c r="L64" s="11">
        <v>23019.786</v>
      </c>
      <c r="M64" s="126">
        <v>16601.8225831581</v>
      </c>
      <c r="O64" s="448">
        <f t="shared" si="2"/>
        <v>65022.555999999997</v>
      </c>
    </row>
    <row r="65" spans="1:16" ht="15.75" x14ac:dyDescent="0.25">
      <c r="A65" s="1" t="s">
        <v>130</v>
      </c>
      <c r="B65" s="131">
        <v>1493.2824000000001</v>
      </c>
      <c r="C65" s="131">
        <v>179.28195585</v>
      </c>
      <c r="D65" s="131">
        <v>1361.0285000000001</v>
      </c>
      <c r="E65" s="131">
        <v>658.59222399999999</v>
      </c>
      <c r="F65" s="131">
        <v>98.191342019999993</v>
      </c>
      <c r="G65" s="131">
        <v>515.83468971000048</v>
      </c>
      <c r="H65" s="131">
        <f t="shared" si="4"/>
        <v>4306.2111115799999</v>
      </c>
      <c r="J65" s="30" t="s">
        <v>130</v>
      </c>
      <c r="K65" s="11">
        <v>16802.240000000002</v>
      </c>
      <c r="L65" s="11">
        <v>23441.324000000001</v>
      </c>
      <c r="M65" s="126">
        <v>16788.1169887217</v>
      </c>
      <c r="O65" s="448">
        <f t="shared" si="2"/>
        <v>65751.953999999998</v>
      </c>
    </row>
    <row r="66" spans="1:16" ht="15.75" x14ac:dyDescent="0.25">
      <c r="A66" s="1" t="s">
        <v>137</v>
      </c>
      <c r="B66" s="131">
        <v>1520.47369</v>
      </c>
      <c r="C66" s="131">
        <v>181.53352739000002</v>
      </c>
      <c r="D66" s="131">
        <v>961.73341000000005</v>
      </c>
      <c r="E66" s="131">
        <v>680.07611299999996</v>
      </c>
      <c r="F66" s="131">
        <v>81.383769999999998</v>
      </c>
      <c r="G66" s="131">
        <v>495.67196041032952</v>
      </c>
      <c r="H66" s="131">
        <f t="shared" si="4"/>
        <v>3920.8724708003297</v>
      </c>
      <c r="J66" s="103" t="s">
        <v>137</v>
      </c>
      <c r="K66" s="11">
        <v>17131.618999999999</v>
      </c>
      <c r="L66" s="11">
        <v>24238.576000000001</v>
      </c>
      <c r="M66" s="126">
        <v>16958.372020446401</v>
      </c>
      <c r="O66" s="448">
        <f t="shared" si="2"/>
        <v>66686.614000000001</v>
      </c>
    </row>
    <row r="67" spans="1:16" ht="15.75" x14ac:dyDescent="0.25">
      <c r="A67" s="1" t="s">
        <v>138</v>
      </c>
      <c r="B67" s="131">
        <v>1541.8187</v>
      </c>
      <c r="C67" s="131">
        <v>194.20377532999998</v>
      </c>
      <c r="D67" s="131">
        <v>735.79869999999994</v>
      </c>
      <c r="E67" s="131">
        <v>678.059843</v>
      </c>
      <c r="F67" s="131">
        <v>69.435900000000004</v>
      </c>
      <c r="G67" s="131">
        <v>576.7936577999991</v>
      </c>
      <c r="H67" s="131">
        <f t="shared" si="4"/>
        <v>3796.1105761299987</v>
      </c>
      <c r="J67" s="103" t="s">
        <v>138</v>
      </c>
      <c r="K67" s="11">
        <v>17153.556</v>
      </c>
      <c r="L67" s="11">
        <v>24429.973000000002</v>
      </c>
      <c r="M67" s="126">
        <v>17109.0688893447</v>
      </c>
      <c r="O67" s="448">
        <f t="shared" si="2"/>
        <v>67546.127999999997</v>
      </c>
    </row>
    <row r="68" spans="1:16" ht="15.75" x14ac:dyDescent="0.25">
      <c r="A68" s="1" t="s">
        <v>140</v>
      </c>
      <c r="B68" s="131">
        <v>1578.5055500000001</v>
      </c>
      <c r="C68" s="131">
        <v>191.48692484</v>
      </c>
      <c r="D68" s="131">
        <v>853.10770000000002</v>
      </c>
      <c r="E68" s="131">
        <v>635.80641993999996</v>
      </c>
      <c r="F68" s="131">
        <v>99.558959999999985</v>
      </c>
      <c r="G68" s="131">
        <v>459.76576504000013</v>
      </c>
      <c r="H68" s="131">
        <f t="shared" si="4"/>
        <v>3818.2313198200004</v>
      </c>
      <c r="J68" s="30" t="s">
        <v>140</v>
      </c>
      <c r="K68" s="11">
        <v>17096.076000000001</v>
      </c>
      <c r="L68" s="11">
        <v>24831.491999999998</v>
      </c>
      <c r="M68" s="126">
        <v>17238.421286224599</v>
      </c>
      <c r="O68" s="448">
        <f t="shared" si="2"/>
        <v>68183.490999999995</v>
      </c>
    </row>
    <row r="69" spans="1:16" ht="15.75" x14ac:dyDescent="0.25">
      <c r="A69" s="1" t="s">
        <v>139</v>
      </c>
      <c r="B69" s="131">
        <v>1539.3935600000002</v>
      </c>
      <c r="C69" s="131">
        <v>190.06499577</v>
      </c>
      <c r="D69" s="131">
        <v>1470.47534</v>
      </c>
      <c r="E69" s="131">
        <v>647.08169815999997</v>
      </c>
      <c r="F69" s="131">
        <v>98.833770000000015</v>
      </c>
      <c r="G69" s="131">
        <v>588.48749527600035</v>
      </c>
      <c r="H69" s="131">
        <f t="shared" si="4"/>
        <v>4534.3368592060006</v>
      </c>
      <c r="J69" s="30" t="s">
        <v>139</v>
      </c>
      <c r="K69" s="11">
        <v>17494.062999999998</v>
      </c>
      <c r="L69" s="11">
        <v>25543.279999999999</v>
      </c>
      <c r="M69" s="126">
        <v>17345.087813000599</v>
      </c>
      <c r="O69" s="448">
        <f t="shared" si="2"/>
        <v>68875.313999999998</v>
      </c>
    </row>
    <row r="70" spans="1:16" ht="15.75" x14ac:dyDescent="0.25">
      <c r="A70" s="1" t="s">
        <v>141</v>
      </c>
      <c r="B70" s="131">
        <v>1593.5418</v>
      </c>
      <c r="C70" s="131">
        <v>207.63027759089101</v>
      </c>
      <c r="D70" s="131">
        <v>1041.4449999999999</v>
      </c>
      <c r="E70" s="131">
        <v>685.59794465000004</v>
      </c>
      <c r="F70" s="131">
        <v>87.998899999999992</v>
      </c>
      <c r="G70" s="131">
        <v>519.38921864999986</v>
      </c>
      <c r="H70" s="131">
        <f t="shared" si="4"/>
        <v>4135.6031408908912</v>
      </c>
      <c r="J70" s="103" t="s">
        <v>141</v>
      </c>
      <c r="K70" s="11">
        <v>17736.022000000001</v>
      </c>
      <c r="L70" s="11">
        <v>25942.914000000001</v>
      </c>
      <c r="M70" s="126">
        <v>17426.303658724799</v>
      </c>
      <c r="O70" s="448">
        <f t="shared" si="2"/>
        <v>69479.71699999999</v>
      </c>
    </row>
    <row r="71" spans="1:16" ht="15.75" x14ac:dyDescent="0.25">
      <c r="A71" s="1" t="s">
        <v>142</v>
      </c>
      <c r="B71" s="131">
        <v>1664.2044999999998</v>
      </c>
      <c r="C71" s="131">
        <v>214.01385454999999</v>
      </c>
      <c r="D71" s="131">
        <v>795.66910000000007</v>
      </c>
      <c r="E71" s="131">
        <v>794.26164869000002</v>
      </c>
      <c r="F71" s="131">
        <v>71.291529999999995</v>
      </c>
      <c r="G71" s="131">
        <v>588.12279854215762</v>
      </c>
      <c r="H71" s="131">
        <f t="shared" si="4"/>
        <v>4127.5634317821577</v>
      </c>
      <c r="J71" s="103" t="s">
        <v>142</v>
      </c>
      <c r="K71" s="11">
        <v>17779.201000000001</v>
      </c>
      <c r="L71" s="11">
        <v>25408.645</v>
      </c>
      <c r="M71" s="126">
        <v>17480.793734319501</v>
      </c>
      <c r="O71" s="448">
        <f t="shared" si="2"/>
        <v>70105.361999999994</v>
      </c>
      <c r="P71" s="128"/>
    </row>
    <row r="72" spans="1:16" ht="15.75" x14ac:dyDescent="0.25">
      <c r="A72" s="1" t="s">
        <v>144</v>
      </c>
      <c r="B72" s="174">
        <v>1802.5612000000001</v>
      </c>
      <c r="C72" s="131">
        <v>216.78720000000001</v>
      </c>
      <c r="D72" s="174">
        <v>919.8891000000001</v>
      </c>
      <c r="E72" s="131">
        <v>779.48709108000003</v>
      </c>
      <c r="F72" s="131">
        <v>110.4537</v>
      </c>
      <c r="G72" s="131">
        <v>719.19178470427755</v>
      </c>
      <c r="H72" s="131">
        <f t="shared" si="4"/>
        <v>4548.370075784278</v>
      </c>
      <c r="J72" s="30" t="s">
        <v>144</v>
      </c>
      <c r="K72" s="11">
        <v>17816.05</v>
      </c>
      <c r="L72" s="11">
        <v>25052.739000000001</v>
      </c>
      <c r="M72" s="127">
        <v>17510.3801141197</v>
      </c>
      <c r="N72" s="127"/>
      <c r="O72" s="448">
        <f t="shared" si="2"/>
        <v>70825.335999999996</v>
      </c>
      <c r="P72" s="128"/>
    </row>
    <row r="73" spans="1:16" ht="15.75" x14ac:dyDescent="0.25">
      <c r="A73" s="1" t="s">
        <v>147</v>
      </c>
      <c r="B73" s="131">
        <v>1542.165</v>
      </c>
      <c r="C73" s="131">
        <v>200.654</v>
      </c>
      <c r="D73" s="174">
        <v>1617.018</v>
      </c>
      <c r="E73" s="131">
        <v>851.67618762000006</v>
      </c>
      <c r="F73" s="131">
        <v>97.139999999999986</v>
      </c>
      <c r="G73" s="131">
        <v>652.37340974961023</v>
      </c>
      <c r="H73" s="131">
        <f t="shared" si="4"/>
        <v>4961.0265973696105</v>
      </c>
      <c r="J73" s="30" t="s">
        <v>147</v>
      </c>
      <c r="K73" s="11">
        <v>17537.769</v>
      </c>
      <c r="L73" s="11">
        <v>25086.195</v>
      </c>
      <c r="M73" s="127">
        <v>17519.868935117102</v>
      </c>
      <c r="N73" s="127"/>
      <c r="O73" s="448">
        <f t="shared" si="2"/>
        <v>70869.042000000001</v>
      </c>
      <c r="P73" s="128"/>
    </row>
    <row r="74" spans="1:16" ht="15.75" x14ac:dyDescent="0.25">
      <c r="A74" s="1" t="s">
        <v>148</v>
      </c>
      <c r="B74" s="131">
        <v>1553.0239999999999</v>
      </c>
      <c r="C74" s="131">
        <v>238.68199999999999</v>
      </c>
      <c r="D74" s="131">
        <v>1491.434</v>
      </c>
      <c r="E74" s="131">
        <v>890.67365870999993</v>
      </c>
      <c r="F74" s="131">
        <v>84.72</v>
      </c>
      <c r="G74" s="131">
        <v>542.00390601613526</v>
      </c>
      <c r="H74" s="131">
        <f t="shared" si="4"/>
        <v>4800.5375647261353</v>
      </c>
      <c r="J74" s="30" t="s">
        <v>148</v>
      </c>
      <c r="K74" s="11">
        <v>17492.224999999999</v>
      </c>
      <c r="L74" s="11">
        <v>24779.738000000001</v>
      </c>
      <c r="M74" s="127">
        <v>17517.123033162399</v>
      </c>
      <c r="N74" s="127"/>
      <c r="O74" s="448">
        <f t="shared" si="2"/>
        <v>70625.244999999995</v>
      </c>
      <c r="P74" s="128"/>
    </row>
    <row r="75" spans="1:16" ht="15.75" x14ac:dyDescent="0.25">
      <c r="A75" s="1" t="s">
        <v>149</v>
      </c>
      <c r="B75" s="131">
        <v>1454.587</v>
      </c>
      <c r="C75" s="131">
        <v>183.51999999999998</v>
      </c>
      <c r="D75" s="131">
        <v>705.8175</v>
      </c>
      <c r="E75" s="131">
        <v>781.70596554000008</v>
      </c>
      <c r="F75" s="131">
        <v>66.188000000000002</v>
      </c>
      <c r="G75" s="131">
        <v>578.7319527691825</v>
      </c>
      <c r="H75" s="131">
        <f t="shared" si="4"/>
        <v>3770.5504183091825</v>
      </c>
      <c r="J75" s="30" t="s">
        <v>149</v>
      </c>
      <c r="K75" s="11">
        <v>17328.633000000002</v>
      </c>
      <c r="L75" s="11">
        <v>24371.708999999999</v>
      </c>
      <c r="M75" s="127">
        <v>17510.184254755</v>
      </c>
      <c r="N75" s="127"/>
      <c r="O75" s="448">
        <f t="shared" si="2"/>
        <v>70174.676999999996</v>
      </c>
    </row>
    <row r="76" spans="1:16" ht="15.75" x14ac:dyDescent="0.25">
      <c r="A76" s="1" t="s">
        <v>150</v>
      </c>
      <c r="B76" s="131">
        <v>1396.4093899999998</v>
      </c>
      <c r="C76" s="131">
        <v>179.91493000000003</v>
      </c>
      <c r="D76" s="131">
        <v>828.04608687519999</v>
      </c>
      <c r="E76" s="131">
        <v>664.50463363000006</v>
      </c>
      <c r="F76" s="131">
        <v>198.69076256</v>
      </c>
      <c r="G76" s="131">
        <v>616.38232316150447</v>
      </c>
      <c r="H76" s="131">
        <f t="shared" si="4"/>
        <v>3883.9481262267045</v>
      </c>
      <c r="I76" s="14"/>
      <c r="J76" s="30" t="s">
        <v>150</v>
      </c>
      <c r="K76" s="11">
        <v>17204.627</v>
      </c>
      <c r="L76" s="11">
        <v>24913.573</v>
      </c>
      <c r="M76" s="368">
        <v>17506.845516062702</v>
      </c>
      <c r="N76" s="368">
        <v>24913573</v>
      </c>
      <c r="O76" s="448">
        <f t="shared" ref="O76:O86" si="5">SUM(K73:K76)</f>
        <v>69563.254000000001</v>
      </c>
    </row>
    <row r="77" spans="1:16" ht="15.75" x14ac:dyDescent="0.25">
      <c r="A77" s="1" t="s">
        <v>151</v>
      </c>
      <c r="B77" s="131">
        <v>1269.28006</v>
      </c>
      <c r="C77" s="131">
        <v>175.93369999999999</v>
      </c>
      <c r="D77" s="131">
        <v>1229.1390000000001</v>
      </c>
      <c r="E77" s="131">
        <v>563.59933354000009</v>
      </c>
      <c r="F77" s="131">
        <v>330.78583369999996</v>
      </c>
      <c r="G77" s="131">
        <v>604.51961807152452</v>
      </c>
      <c r="H77" s="131">
        <f t="shared" si="4"/>
        <v>4173.2575453115251</v>
      </c>
      <c r="I77" s="108"/>
      <c r="J77" s="30" t="s">
        <v>151</v>
      </c>
      <c r="K77" s="11">
        <v>17328.097000000002</v>
      </c>
      <c r="L77" s="11">
        <v>24926.186000000002</v>
      </c>
      <c r="M77" s="368">
        <v>17513.084190705798</v>
      </c>
      <c r="N77" s="368">
        <v>24926186</v>
      </c>
      <c r="O77" s="448">
        <f t="shared" si="5"/>
        <v>69353.581999999995</v>
      </c>
    </row>
    <row r="78" spans="1:16" ht="15.75" x14ac:dyDescent="0.25">
      <c r="A78" s="1" t="s">
        <v>152</v>
      </c>
      <c r="B78" s="131">
        <v>1308.4883199999999</v>
      </c>
      <c r="C78" s="131">
        <v>209.85396999999998</v>
      </c>
      <c r="D78" s="131">
        <v>869.05293643000005</v>
      </c>
      <c r="E78" s="131">
        <v>623.01603509999995</v>
      </c>
      <c r="F78" s="131">
        <v>785.74604313899988</v>
      </c>
      <c r="G78" s="131">
        <v>563.84756378987367</v>
      </c>
      <c r="H78" s="131">
        <f t="shared" si="4"/>
        <v>4360.0048684588728</v>
      </c>
      <c r="J78" s="30" t="s">
        <v>152</v>
      </c>
      <c r="K78" s="11">
        <v>17310.907999999999</v>
      </c>
      <c r="L78" s="11">
        <v>24910.741000000002</v>
      </c>
      <c r="M78" s="368">
        <v>17531.855497143901</v>
      </c>
      <c r="N78" s="368">
        <v>24910741</v>
      </c>
      <c r="O78" s="448">
        <f t="shared" si="5"/>
        <v>69172.264999999999</v>
      </c>
    </row>
    <row r="79" spans="1:16" ht="15.75" x14ac:dyDescent="0.25">
      <c r="A79" s="1" t="s">
        <v>153</v>
      </c>
      <c r="B79" s="131">
        <v>1425.5024769144609</v>
      </c>
      <c r="C79" s="131">
        <v>223.914675872397</v>
      </c>
      <c r="D79" s="131">
        <v>713.42827857000009</v>
      </c>
      <c r="E79" s="131">
        <v>672.53036593000002</v>
      </c>
      <c r="F79" s="131">
        <v>425.68215291553878</v>
      </c>
      <c r="G79" s="131">
        <v>839.70835022063955</v>
      </c>
      <c r="H79" s="131">
        <f t="shared" si="4"/>
        <v>4300.7663004230362</v>
      </c>
      <c r="I79" s="14"/>
      <c r="J79" s="30" t="s">
        <v>153</v>
      </c>
      <c r="K79" s="11">
        <v>17470.434000000001</v>
      </c>
      <c r="L79" s="11">
        <v>25187.196</v>
      </c>
      <c r="M79" s="368">
        <v>17564.264811929501</v>
      </c>
      <c r="N79" s="368">
        <v>25187196</v>
      </c>
      <c r="O79" s="448">
        <f t="shared" si="5"/>
        <v>69314.065999999992</v>
      </c>
    </row>
    <row r="80" spans="1:16" ht="15.75" x14ac:dyDescent="0.25">
      <c r="A80" s="1" t="s">
        <v>170</v>
      </c>
      <c r="B80" s="131">
        <v>1526.183</v>
      </c>
      <c r="C80" s="131">
        <v>218.29339301723581</v>
      </c>
      <c r="D80" s="131">
        <v>798.44045161999998</v>
      </c>
      <c r="E80" s="131">
        <v>600.98185444000001</v>
      </c>
      <c r="F80" s="131">
        <v>373.01012156799942</v>
      </c>
      <c r="G80" s="131">
        <v>489.40474009100018</v>
      </c>
      <c r="H80" s="131">
        <f t="shared" si="4"/>
        <v>4006.3135607362356</v>
      </c>
      <c r="I80" s="106"/>
      <c r="J80" s="30" t="s">
        <v>170</v>
      </c>
      <c r="K80" s="11">
        <v>17497.935000000001</v>
      </c>
      <c r="L80" s="11">
        <v>26000.260999999999</v>
      </c>
      <c r="M80" s="368">
        <v>17609.2080566439</v>
      </c>
      <c r="N80" s="368">
        <v>26000261</v>
      </c>
      <c r="O80" s="448">
        <f t="shared" si="5"/>
        <v>69607.374000000011</v>
      </c>
    </row>
    <row r="81" spans="1:15" ht="15.75" x14ac:dyDescent="0.25">
      <c r="A81" s="1" t="s">
        <v>172</v>
      </c>
      <c r="B81" s="131">
        <v>1446.422</v>
      </c>
      <c r="C81" s="131">
        <v>226.76863999999998</v>
      </c>
      <c r="D81" s="131">
        <v>1351.1090034800031</v>
      </c>
      <c r="E81" s="131">
        <v>560.55797587000006</v>
      </c>
      <c r="F81" s="131">
        <v>343.13267999999999</v>
      </c>
      <c r="G81" s="131">
        <v>600.41646577020003</v>
      </c>
      <c r="H81" s="131">
        <f t="shared" si="4"/>
        <v>4528.406765120204</v>
      </c>
      <c r="I81" s="14"/>
      <c r="J81" s="30" t="s">
        <v>172</v>
      </c>
      <c r="K81" s="11">
        <v>17685.968000000001</v>
      </c>
      <c r="L81" s="11">
        <v>25993.55</v>
      </c>
      <c r="M81" s="368">
        <v>17664.642804748801</v>
      </c>
      <c r="N81" s="368">
        <v>25993550</v>
      </c>
      <c r="O81" s="448">
        <f t="shared" si="5"/>
        <v>69965.244999999995</v>
      </c>
    </row>
    <row r="82" spans="1:15" ht="15.75" x14ac:dyDescent="0.25">
      <c r="A82" s="1" t="s">
        <v>174</v>
      </c>
      <c r="B82" s="131">
        <v>1476.5841832111819</v>
      </c>
      <c r="C82" s="131">
        <v>241.62492000000003</v>
      </c>
      <c r="D82" s="131">
        <v>886.79664000000002</v>
      </c>
      <c r="E82" s="131">
        <v>600.28223429000002</v>
      </c>
      <c r="F82" s="131">
        <v>140.30705</v>
      </c>
      <c r="G82" s="131">
        <v>620.39687685030003</v>
      </c>
      <c r="H82" s="131">
        <f t="shared" si="4"/>
        <v>3965.9919043514815</v>
      </c>
      <c r="I82" s="14"/>
      <c r="J82" s="30" t="s">
        <v>174</v>
      </c>
      <c r="K82" s="11">
        <v>17819.404999999999</v>
      </c>
      <c r="L82" s="11">
        <v>25960.906999999999</v>
      </c>
      <c r="M82" s="368">
        <v>17727.4139491397</v>
      </c>
      <c r="N82" s="368">
        <v>25960907</v>
      </c>
      <c r="O82" s="448">
        <f t="shared" si="5"/>
        <v>70473.741999999998</v>
      </c>
    </row>
    <row r="83" spans="1:15" ht="15.75" x14ac:dyDescent="0.25">
      <c r="A83" s="43" t="s">
        <v>190</v>
      </c>
      <c r="B83" s="131">
        <v>1529.1447790764601</v>
      </c>
      <c r="C83" s="131">
        <v>250.06325029999999</v>
      </c>
      <c r="D83" s="131">
        <v>727.57690017000004</v>
      </c>
      <c r="E83" s="131">
        <v>640.75358988000005</v>
      </c>
      <c r="F83" s="131">
        <v>139.67621</v>
      </c>
      <c r="G83" s="131">
        <v>705.44495971031995</v>
      </c>
      <c r="H83" s="131">
        <f t="shared" si="4"/>
        <v>3992.6596891367803</v>
      </c>
      <c r="I83" s="14"/>
      <c r="J83" s="30" t="s">
        <v>190</v>
      </c>
      <c r="K83" s="11">
        <v>17952.383000000002</v>
      </c>
      <c r="L83" s="11">
        <v>26341.144</v>
      </c>
      <c r="M83" s="368">
        <v>17794.579654664401</v>
      </c>
      <c r="N83" s="368">
        <v>26341144</v>
      </c>
      <c r="O83" s="448">
        <f t="shared" si="5"/>
        <v>70955.691000000006</v>
      </c>
    </row>
    <row r="84" spans="1:15" ht="15.75" x14ac:dyDescent="0.25">
      <c r="A84" s="43" t="s">
        <v>246</v>
      </c>
      <c r="B84" s="131">
        <v>1595.3021647237833</v>
      </c>
      <c r="C84" s="131">
        <v>255.6584105</v>
      </c>
      <c r="D84" s="131">
        <v>897.68198400000051</v>
      </c>
      <c r="E84" s="131">
        <v>624.38195330000008</v>
      </c>
      <c r="F84" s="131">
        <v>171.34652603854352</v>
      </c>
      <c r="G84" s="131">
        <v>496.74159903000003</v>
      </c>
      <c r="H84" s="131">
        <f t="shared" si="4"/>
        <v>4041.1126375923272</v>
      </c>
      <c r="I84" s="155"/>
      <c r="J84" s="30" t="s">
        <v>246</v>
      </c>
      <c r="K84" s="11">
        <v>17816.925999999999</v>
      </c>
      <c r="L84" s="11">
        <v>26893.748</v>
      </c>
      <c r="M84" s="368">
        <v>17864.118046679399</v>
      </c>
      <c r="N84" s="369">
        <v>26893748</v>
      </c>
      <c r="O84" s="448">
        <f t="shared" si="5"/>
        <v>71274.682000000001</v>
      </c>
    </row>
    <row r="85" spans="1:15" ht="15.75" x14ac:dyDescent="0.25">
      <c r="A85" s="43" t="s">
        <v>247</v>
      </c>
      <c r="B85" s="131">
        <v>1510.1381687828455</v>
      </c>
      <c r="C85" s="131">
        <v>242.83298891999999</v>
      </c>
      <c r="D85" s="131">
        <v>1477.8909671600002</v>
      </c>
      <c r="E85" s="131">
        <v>630.27910198999996</v>
      </c>
      <c r="F85" s="131">
        <v>159.99117894072566</v>
      </c>
      <c r="G85" s="131">
        <v>764.20578665000005</v>
      </c>
      <c r="H85" s="131">
        <f t="shared" si="4"/>
        <v>4785.3381924435716</v>
      </c>
      <c r="I85" s="155"/>
      <c r="J85" s="30" t="s">
        <v>247</v>
      </c>
      <c r="K85" s="11">
        <v>17939.683000000001</v>
      </c>
      <c r="L85" s="11">
        <v>26767.539000000001</v>
      </c>
      <c r="M85" s="368">
        <v>17935.585253994701</v>
      </c>
      <c r="N85" s="369">
        <v>26767539</v>
      </c>
      <c r="O85" s="448">
        <f t="shared" si="5"/>
        <v>71528.396999999997</v>
      </c>
    </row>
    <row r="86" spans="1:15" ht="15.75" x14ac:dyDescent="0.25">
      <c r="A86" s="43" t="s">
        <v>248</v>
      </c>
      <c r="B86" s="131">
        <v>1602.9301908568821</v>
      </c>
      <c r="C86" s="131">
        <v>244.9666265059804</v>
      </c>
      <c r="D86" s="131">
        <v>962.82886636000148</v>
      </c>
      <c r="E86" s="131">
        <v>670.44087099000001</v>
      </c>
      <c r="F86" s="131">
        <v>133.35003863184875</v>
      </c>
      <c r="G86" s="131">
        <v>716.22137457000031</v>
      </c>
      <c r="H86" s="131">
        <f t="shared" si="4"/>
        <v>4330.7379679147134</v>
      </c>
      <c r="I86" s="107"/>
      <c r="J86" s="30" t="s">
        <v>248</v>
      </c>
      <c r="K86" s="11">
        <v>18081.723999999998</v>
      </c>
      <c r="L86" s="11">
        <v>27267.486000000001</v>
      </c>
      <c r="M86" s="368">
        <v>18008.065524953301</v>
      </c>
      <c r="N86" s="369">
        <v>27267486</v>
      </c>
      <c r="O86" s="448">
        <f t="shared" si="5"/>
        <v>71790.716</v>
      </c>
    </row>
    <row r="87" spans="1:15" ht="15.75" x14ac:dyDescent="0.25">
      <c r="A87" s="43" t="s">
        <v>249</v>
      </c>
      <c r="B87" s="131">
        <v>1675.5690539800064</v>
      </c>
      <c r="C87" s="131">
        <v>234.75619452999996</v>
      </c>
      <c r="D87" s="131">
        <v>1464.3256516600004</v>
      </c>
      <c r="E87" s="131">
        <v>677.33458956000004</v>
      </c>
      <c r="F87" s="131">
        <v>189.69803160199984</v>
      </c>
      <c r="G87" s="131">
        <v>725.68584761331329</v>
      </c>
      <c r="H87" s="131">
        <f t="shared" si="4"/>
        <v>4967.3693689453194</v>
      </c>
      <c r="J87" s="30" t="s">
        <v>249</v>
      </c>
      <c r="K87" s="11">
        <v>18094.508000000002</v>
      </c>
      <c r="L87" s="11">
        <v>27469.285</v>
      </c>
      <c r="M87" s="368">
        <v>18080.684055358299</v>
      </c>
      <c r="N87" s="369">
        <v>27469285</v>
      </c>
      <c r="O87" s="448">
        <f>SUM(K84:K87)</f>
        <v>71932.841</v>
      </c>
    </row>
    <row r="88" spans="1:15" ht="15.75" x14ac:dyDescent="0.25">
      <c r="F88" s="131"/>
    </row>
    <row r="89" spans="1:15" ht="15.75" x14ac:dyDescent="0.25">
      <c r="F89" s="131"/>
    </row>
    <row r="90" spans="1:15" ht="15.75" x14ac:dyDescent="0.25">
      <c r="F90" s="131"/>
      <c r="G90" s="156"/>
      <c r="H90" s="156"/>
      <c r="I90" s="156"/>
    </row>
    <row r="91" spans="1:15" ht="15.75" x14ac:dyDescent="0.25">
      <c r="F91" s="131"/>
      <c r="G91" s="156"/>
      <c r="H91" s="156"/>
      <c r="I91" s="156"/>
    </row>
    <row r="92" spans="1:15" ht="15.75" x14ac:dyDescent="0.25">
      <c r="F92" s="131"/>
      <c r="G92" s="107"/>
      <c r="H92" s="107"/>
      <c r="I92" s="107"/>
    </row>
    <row r="93" spans="1:15" ht="15.75" x14ac:dyDescent="0.25">
      <c r="F93" s="131"/>
    </row>
    <row r="94" spans="1:15" ht="15.75" x14ac:dyDescent="0.25">
      <c r="F94" s="131"/>
    </row>
    <row r="95" spans="1:15" ht="15.75" x14ac:dyDescent="0.25">
      <c r="F95" s="131"/>
    </row>
    <row r="96" spans="1:15" ht="15.75" x14ac:dyDescent="0.25">
      <c r="F96" s="131"/>
    </row>
  </sheetData>
  <mergeCells count="2">
    <mergeCell ref="B2:H2"/>
    <mergeCell ref="J2:L2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1</xdr:row>
                <xdr:rowOff>219075</xdr:rowOff>
              </to>
            </anchor>
          </objectPr>
        </oleObject>
      </mc:Choice>
      <mc:Fallback>
        <oleObject progId="Equation.3" shapeId="1036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opLeftCell="G71" workbookViewId="0">
      <selection activeCell="H77" sqref="H77"/>
    </sheetView>
  </sheetViews>
  <sheetFormatPr baseColWidth="10" defaultRowHeight="15" x14ac:dyDescent="0.25"/>
  <cols>
    <col min="2" max="2" width="11.42578125" style="126"/>
    <col min="4" max="4" width="4.42578125" style="113" customWidth="1"/>
    <col min="5" max="5" width="11.42578125" style="126"/>
  </cols>
  <sheetData>
    <row r="1" spans="1:9" x14ac:dyDescent="0.25">
      <c r="B1" s="126" t="s">
        <v>235</v>
      </c>
      <c r="F1" t="s">
        <v>234</v>
      </c>
      <c r="H1" t="s">
        <v>236</v>
      </c>
    </row>
    <row r="2" spans="1:9" s="126" customFormat="1" x14ac:dyDescent="0.25">
      <c r="B2" s="27">
        <f>'Indicador Blanchard'!M6</f>
        <v>15749.8194611005</v>
      </c>
      <c r="D2" s="113"/>
      <c r="F2">
        <v>38719.183446445968</v>
      </c>
      <c r="H2" s="126">
        <v>37842.922369693697</v>
      </c>
    </row>
    <row r="3" spans="1:9" s="126" customFormat="1" x14ac:dyDescent="0.25">
      <c r="B3" s="27">
        <f>'Indicador Blanchard'!M7</f>
        <v>15748.0840643628</v>
      </c>
      <c r="D3" s="113"/>
      <c r="F3">
        <v>38258.126825387902</v>
      </c>
      <c r="H3" s="126">
        <v>37791.631869999299</v>
      </c>
    </row>
    <row r="4" spans="1:9" s="126" customFormat="1" x14ac:dyDescent="0.25">
      <c r="B4" s="27">
        <f>'Indicador Blanchard'!M8</f>
        <v>15750.0924730141</v>
      </c>
      <c r="D4" s="113"/>
      <c r="F4">
        <v>37791.994371668145</v>
      </c>
      <c r="H4" s="126">
        <v>37749.103981107903</v>
      </c>
    </row>
    <row r="5" spans="1:9" x14ac:dyDescent="0.25">
      <c r="B5" s="27">
        <f>'Indicador Blanchard'!M9</f>
        <v>15761.419651799801</v>
      </c>
      <c r="F5">
        <v>37318.960999999996</v>
      </c>
      <c r="H5">
        <v>37728.766263422702</v>
      </c>
    </row>
    <row r="6" spans="1:9" x14ac:dyDescent="0.25">
      <c r="A6" s="49" t="s">
        <v>0</v>
      </c>
      <c r="B6" s="27">
        <f>'Indicador Blanchard'!M10</f>
        <v>15787.518640735099</v>
      </c>
      <c r="C6" s="257">
        <f>+B6/B2-1</f>
        <v>2.3936261445860474E-3</v>
      </c>
      <c r="D6" s="261"/>
      <c r="E6" s="258" t="s">
        <v>0</v>
      </c>
      <c r="F6">
        <v>37278.750856680868</v>
      </c>
      <c r="G6" s="54">
        <f>F6/F2-1</f>
        <v>-3.7202039442733037E-2</v>
      </c>
      <c r="H6">
        <v>37744.475181235699</v>
      </c>
      <c r="I6" s="54">
        <f>H6/H2-1</f>
        <v>-2.6014689747332342E-3</v>
      </c>
    </row>
    <row r="7" spans="1:9" x14ac:dyDescent="0.25">
      <c r="A7" s="49" t="s">
        <v>6</v>
      </c>
      <c r="B7" s="27">
        <f>'Indicador Blanchard'!M11</f>
        <v>15831.6332833172</v>
      </c>
      <c r="C7" s="257">
        <f t="shared" ref="C7:C70" si="0">+B7/B3-1</f>
        <v>5.3053576938586477E-3</v>
      </c>
      <c r="D7" s="261"/>
      <c r="E7" s="258" t="s">
        <v>6</v>
      </c>
      <c r="F7">
        <v>37332.027964823792</v>
      </c>
      <c r="G7" s="54">
        <f>F7/F3-1</f>
        <v>-2.4206591838405345E-2</v>
      </c>
      <c r="H7">
        <v>37805.989146204702</v>
      </c>
      <c r="I7" s="54">
        <f t="shared" ref="I7:I70" si="1">H7/H3-1</f>
        <v>3.7990622513439654E-4</v>
      </c>
    </row>
    <row r="8" spans="1:9" x14ac:dyDescent="0.25">
      <c r="A8" s="49" t="s">
        <v>1</v>
      </c>
      <c r="B8" s="27">
        <f>'Indicador Blanchard'!M12</f>
        <v>15894.986236636099</v>
      </c>
      <c r="C8" s="257">
        <f t="shared" si="0"/>
        <v>9.1995500261512486E-3</v>
      </c>
      <c r="D8" s="261"/>
      <c r="E8" s="258" t="s">
        <v>1</v>
      </c>
      <c r="F8">
        <v>37511.358950496193</v>
      </c>
      <c r="G8" s="54">
        <f t="shared" ref="G8:G70" si="2">F8/F4-1</f>
        <v>-7.4257901928123093E-3</v>
      </c>
      <c r="H8">
        <v>37918.409326775101</v>
      </c>
      <c r="I8" s="54">
        <f t="shared" si="1"/>
        <v>4.4850162735499133E-3</v>
      </c>
    </row>
    <row r="9" spans="1:9" x14ac:dyDescent="0.25">
      <c r="A9" s="49" t="s">
        <v>2</v>
      </c>
      <c r="B9" s="27">
        <f>'Indicador Blanchard'!M13</f>
        <v>15976.7668249484</v>
      </c>
      <c r="C9" s="257">
        <f t="shared" si="0"/>
        <v>1.3662929983848882E-2</v>
      </c>
      <c r="D9" s="261"/>
      <c r="E9" s="258" t="s">
        <v>2</v>
      </c>
      <c r="F9">
        <v>37726.409999999996</v>
      </c>
      <c r="G9" s="54">
        <f t="shared" si="2"/>
        <v>1.0918015643575973E-2</v>
      </c>
      <c r="H9">
        <v>38082.097279530397</v>
      </c>
      <c r="I9" s="54">
        <f t="shared" si="1"/>
        <v>9.3650296869167704E-3</v>
      </c>
    </row>
    <row r="10" spans="1:9" x14ac:dyDescent="0.25">
      <c r="A10" s="49" t="s">
        <v>3</v>
      </c>
      <c r="B10" s="27">
        <f>'Indicador Blanchard'!M14</f>
        <v>16075.0945101445</v>
      </c>
      <c r="C10" s="257">
        <f t="shared" si="0"/>
        <v>1.8215393815427916E-2</v>
      </c>
      <c r="D10" s="261"/>
      <c r="E10" s="258" t="s">
        <v>3</v>
      </c>
      <c r="F10">
        <v>38291.185999999994</v>
      </c>
      <c r="G10" s="54">
        <f t="shared" si="2"/>
        <v>2.7158505047861103E-2</v>
      </c>
      <c r="H10">
        <v>38293.344057286202</v>
      </c>
      <c r="I10" s="54">
        <f t="shared" si="1"/>
        <v>1.454170109439934E-2</v>
      </c>
    </row>
    <row r="11" spans="1:9" x14ac:dyDescent="0.25">
      <c r="A11" s="49" t="s">
        <v>4</v>
      </c>
      <c r="B11" s="27">
        <f>'Indicador Blanchard'!M15</f>
        <v>16187.6850858653</v>
      </c>
      <c r="C11" s="257">
        <f t="shared" si="0"/>
        <v>2.248989704197446E-2</v>
      </c>
      <c r="D11" s="261"/>
      <c r="E11" s="258" t="s">
        <v>4</v>
      </c>
      <c r="F11">
        <v>38773.184999999998</v>
      </c>
      <c r="G11" s="54">
        <f t="shared" si="2"/>
        <v>3.8603770374707302E-2</v>
      </c>
      <c r="H11">
        <v>38544.883840062903</v>
      </c>
      <c r="I11" s="54">
        <f t="shared" si="1"/>
        <v>1.9544382002563587E-2</v>
      </c>
    </row>
    <row r="12" spans="1:9" x14ac:dyDescent="0.25">
      <c r="A12" s="49" t="s">
        <v>5</v>
      </c>
      <c r="B12" s="27">
        <f>'Indicador Blanchard'!M16</f>
        <v>16312.5964006502</v>
      </c>
      <c r="C12" s="257">
        <f t="shared" si="0"/>
        <v>2.6273074905315497E-2</v>
      </c>
      <c r="D12" s="261"/>
      <c r="E12" s="258" t="s">
        <v>5</v>
      </c>
      <c r="F12">
        <v>39034.176999999996</v>
      </c>
      <c r="G12" s="54">
        <f t="shared" si="2"/>
        <v>4.059618451876057E-2</v>
      </c>
      <c r="H12">
        <v>38829.429227307999</v>
      </c>
      <c r="I12" s="54">
        <f t="shared" si="1"/>
        <v>2.402579424368434E-2</v>
      </c>
    </row>
    <row r="13" spans="1:9" x14ac:dyDescent="0.25">
      <c r="A13" s="49" t="s">
        <v>7</v>
      </c>
      <c r="B13" s="27">
        <f>'Indicador Blanchard'!M17</f>
        <v>16448.913452180001</v>
      </c>
      <c r="C13" s="257">
        <f t="shared" si="0"/>
        <v>2.9552075986633453E-2</v>
      </c>
      <c r="D13" s="261"/>
      <c r="E13" s="258" t="s">
        <v>7</v>
      </c>
      <c r="F13">
        <v>39241.362999999998</v>
      </c>
      <c r="G13" s="54">
        <f t="shared" si="2"/>
        <v>4.0156298995849271E-2</v>
      </c>
      <c r="H13">
        <v>39141.975830068499</v>
      </c>
      <c r="I13" s="54">
        <f t="shared" si="1"/>
        <v>2.7831412297447233E-2</v>
      </c>
    </row>
    <row r="14" spans="1:9" x14ac:dyDescent="0.25">
      <c r="A14" s="49" t="s">
        <v>8</v>
      </c>
      <c r="B14" s="27">
        <f>'Indicador Blanchard'!M18</f>
        <v>16595.729274129098</v>
      </c>
      <c r="C14" s="257">
        <f t="shared" si="0"/>
        <v>3.2387664262629512E-2</v>
      </c>
      <c r="D14" s="261"/>
      <c r="E14" s="258" t="s">
        <v>8</v>
      </c>
      <c r="F14">
        <v>39605.565999999999</v>
      </c>
      <c r="G14" s="54">
        <f t="shared" si="2"/>
        <v>3.432591510746108E-2</v>
      </c>
      <c r="H14">
        <v>39479.566737118199</v>
      </c>
      <c r="I14" s="54">
        <f t="shared" si="1"/>
        <v>3.0977254899896556E-2</v>
      </c>
    </row>
    <row r="15" spans="1:9" x14ac:dyDescent="0.25">
      <c r="A15" s="49" t="s">
        <v>9</v>
      </c>
      <c r="B15" s="27">
        <f>'Indicador Blanchard'!M19</f>
        <v>16751.058765649799</v>
      </c>
      <c r="C15" s="257">
        <f t="shared" si="0"/>
        <v>3.480260931666046E-2</v>
      </c>
      <c r="D15" s="261"/>
      <c r="E15" s="258" t="s">
        <v>9</v>
      </c>
      <c r="F15">
        <v>40008.970999999998</v>
      </c>
      <c r="G15" s="54">
        <f t="shared" si="2"/>
        <v>3.1872181766857688E-2</v>
      </c>
      <c r="H15">
        <v>39840.238908929998</v>
      </c>
      <c r="I15" s="54">
        <f t="shared" si="1"/>
        <v>3.3606407383195203E-2</v>
      </c>
    </row>
    <row r="16" spans="1:9" x14ac:dyDescent="0.25">
      <c r="A16" s="49" t="s">
        <v>10</v>
      </c>
      <c r="B16" s="27">
        <f>'Indicador Blanchard'!M20</f>
        <v>16912.3885331534</v>
      </c>
      <c r="C16" s="257">
        <f t="shared" si="0"/>
        <v>3.6768649071664328E-2</v>
      </c>
      <c r="D16" s="261"/>
      <c r="E16" s="258" t="s">
        <v>10</v>
      </c>
      <c r="F16">
        <v>40473.695999999996</v>
      </c>
      <c r="G16" s="54">
        <f t="shared" si="2"/>
        <v>3.6878425795937808E-2</v>
      </c>
      <c r="H16">
        <v>40223.289298606098</v>
      </c>
      <c r="I16" s="54">
        <f t="shared" si="1"/>
        <v>3.5897001296063991E-2</v>
      </c>
    </row>
    <row r="17" spans="1:9" x14ac:dyDescent="0.25">
      <c r="A17" s="49" t="s">
        <v>11</v>
      </c>
      <c r="B17" s="27">
        <f>'Indicador Blanchard'!M21</f>
        <v>17077.172595394601</v>
      </c>
      <c r="C17" s="257">
        <f t="shared" si="0"/>
        <v>3.8194567990224026E-2</v>
      </c>
      <c r="D17" s="261"/>
      <c r="E17" s="258" t="s">
        <v>11</v>
      </c>
      <c r="F17">
        <v>40848.993999999999</v>
      </c>
      <c r="G17" s="54">
        <f t="shared" si="2"/>
        <v>4.0967766588535737E-2</v>
      </c>
      <c r="H17">
        <v>40629.702180159104</v>
      </c>
      <c r="I17" s="54">
        <f t="shared" si="1"/>
        <v>3.8008463255647662E-2</v>
      </c>
    </row>
    <row r="18" spans="1:9" x14ac:dyDescent="0.25">
      <c r="A18" s="49" t="s">
        <v>12</v>
      </c>
      <c r="B18" s="27">
        <f>'Indicador Blanchard'!M22</f>
        <v>17243.9550857965</v>
      </c>
      <c r="C18" s="257">
        <f t="shared" si="0"/>
        <v>3.9059796707934691E-2</v>
      </c>
      <c r="D18" s="261"/>
      <c r="E18" s="258" t="s">
        <v>12</v>
      </c>
      <c r="F18">
        <v>41225.516000000003</v>
      </c>
      <c r="G18" s="54">
        <f t="shared" si="2"/>
        <v>4.0902079268353431E-2</v>
      </c>
      <c r="H18">
        <v>41062.965894615598</v>
      </c>
      <c r="I18" s="54">
        <f t="shared" si="1"/>
        <v>4.010680178029169E-2</v>
      </c>
    </row>
    <row r="19" spans="1:9" x14ac:dyDescent="0.25">
      <c r="A19" s="49" t="s">
        <v>13</v>
      </c>
      <c r="B19" s="27">
        <f>'Indicador Blanchard'!M23</f>
        <v>17412.862411828301</v>
      </c>
      <c r="C19" s="257">
        <f t="shared" si="0"/>
        <v>3.9508168136548782E-2</v>
      </c>
      <c r="D19" s="261"/>
      <c r="E19" s="258" t="s">
        <v>13</v>
      </c>
      <c r="F19">
        <v>41260.489000000001</v>
      </c>
      <c r="G19" s="54">
        <f t="shared" si="2"/>
        <v>3.1280934468422172E-2</v>
      </c>
      <c r="H19">
        <v>41528.761701200398</v>
      </c>
      <c r="I19" s="54">
        <f t="shared" si="1"/>
        <v>4.2382346052948217E-2</v>
      </c>
    </row>
    <row r="20" spans="1:9" x14ac:dyDescent="0.25">
      <c r="A20" s="49" t="s">
        <v>14</v>
      </c>
      <c r="B20" s="27">
        <f>'Indicador Blanchard'!M24</f>
        <v>17585.986430101399</v>
      </c>
      <c r="C20" s="257">
        <f t="shared" si="0"/>
        <v>3.9828667348053237E-2</v>
      </c>
      <c r="D20" s="261"/>
      <c r="E20" s="258" t="s">
        <v>14</v>
      </c>
      <c r="F20">
        <v>41450.661999999997</v>
      </c>
      <c r="G20" s="54">
        <f t="shared" si="2"/>
        <v>2.4138294659326487E-2</v>
      </c>
      <c r="H20">
        <v>42034.396360192397</v>
      </c>
      <c r="I20" s="54">
        <f t="shared" si="1"/>
        <v>4.502632910354909E-2</v>
      </c>
    </row>
    <row r="21" spans="1:9" x14ac:dyDescent="0.25">
      <c r="A21" s="49" t="s">
        <v>15</v>
      </c>
      <c r="B21" s="27">
        <f>'Indicador Blanchard'!M25</f>
        <v>17766.364373108499</v>
      </c>
      <c r="C21" s="257">
        <f t="shared" si="0"/>
        <v>4.0357487392248981E-2</v>
      </c>
      <c r="D21" s="261"/>
      <c r="E21" s="258" t="s">
        <v>15</v>
      </c>
      <c r="F21">
        <v>41961.262000000002</v>
      </c>
      <c r="G21" s="54">
        <f t="shared" si="2"/>
        <v>2.7228773369547543E-2</v>
      </c>
      <c r="H21">
        <v>42584.493904858296</v>
      </c>
      <c r="I21" s="54">
        <f t="shared" si="1"/>
        <v>4.8112381332043874E-2</v>
      </c>
    </row>
    <row r="22" spans="1:9" x14ac:dyDescent="0.25">
      <c r="A22" s="49" t="s">
        <v>16</v>
      </c>
      <c r="B22" s="27">
        <f>'Indicador Blanchard'!M26</f>
        <v>17956.813609041699</v>
      </c>
      <c r="C22" s="257">
        <f t="shared" si="0"/>
        <v>4.1339618416912138E-2</v>
      </c>
      <c r="D22" s="261"/>
      <c r="E22" s="258" t="s">
        <v>16</v>
      </c>
      <c r="F22">
        <v>42612.584999999999</v>
      </c>
      <c r="G22" s="54">
        <f t="shared" si="2"/>
        <v>3.3645885717961566E-2</v>
      </c>
      <c r="H22">
        <v>43177.841024863003</v>
      </c>
      <c r="I22" s="54">
        <f t="shared" si="1"/>
        <v>5.1503223992028335E-2</v>
      </c>
    </row>
    <row r="23" spans="1:9" x14ac:dyDescent="0.25">
      <c r="A23" s="49" t="s">
        <v>17</v>
      </c>
      <c r="B23" s="27">
        <f>'Indicador Blanchard'!M27</f>
        <v>18159.0128623618</v>
      </c>
      <c r="C23" s="257">
        <f t="shared" si="0"/>
        <v>4.2850533868954876E-2</v>
      </c>
      <c r="D23" s="261"/>
      <c r="E23" s="258" t="s">
        <v>17</v>
      </c>
      <c r="F23">
        <v>43654.343000000001</v>
      </c>
      <c r="G23" s="54">
        <f t="shared" si="2"/>
        <v>5.8018071477533795E-2</v>
      </c>
      <c r="H23">
        <v>43806.9920908227</v>
      </c>
      <c r="I23" s="54">
        <f t="shared" si="1"/>
        <v>5.4859097557836689E-2</v>
      </c>
    </row>
    <row r="24" spans="1:9" x14ac:dyDescent="0.25">
      <c r="A24" s="49" t="s">
        <v>18</v>
      </c>
      <c r="B24" s="27">
        <f>'Indicador Blanchard'!M28</f>
        <v>18372.866721439201</v>
      </c>
      <c r="C24" s="257">
        <f t="shared" si="0"/>
        <v>4.4744734363659111E-2</v>
      </c>
      <c r="D24" s="261"/>
      <c r="E24" s="258" t="s">
        <v>18</v>
      </c>
      <c r="F24">
        <v>44593.251000000004</v>
      </c>
      <c r="G24" s="54">
        <f t="shared" si="2"/>
        <v>7.5815170334312398E-2</v>
      </c>
      <c r="H24">
        <v>44458.848913105103</v>
      </c>
      <c r="I24" s="54">
        <f t="shared" si="1"/>
        <v>5.7677824896962715E-2</v>
      </c>
    </row>
    <row r="25" spans="1:9" x14ac:dyDescent="0.25">
      <c r="A25" s="49" t="s">
        <v>19</v>
      </c>
      <c r="B25" s="27">
        <f>'Indicador Blanchard'!M29</f>
        <v>18596.625646020799</v>
      </c>
      <c r="C25" s="257">
        <f t="shared" si="0"/>
        <v>4.673219886050517E-2</v>
      </c>
      <c r="D25" s="261"/>
      <c r="E25" s="258" t="s">
        <v>19</v>
      </c>
      <c r="F25">
        <v>45406.709999999992</v>
      </c>
      <c r="G25" s="54">
        <f t="shared" si="2"/>
        <v>8.2110209173403614E-2</v>
      </c>
      <c r="H25">
        <v>45118.786811169703</v>
      </c>
      <c r="I25" s="54">
        <f t="shared" si="1"/>
        <v>5.9512105790748393E-2</v>
      </c>
    </row>
    <row r="26" spans="1:9" x14ac:dyDescent="0.25">
      <c r="A26" s="49" t="s">
        <v>20</v>
      </c>
      <c r="B26" s="27">
        <f>'Indicador Blanchard'!M30</f>
        <v>18827.448428639</v>
      </c>
      <c r="C26" s="257">
        <f t="shared" si="0"/>
        <v>4.8484928259149074E-2</v>
      </c>
      <c r="D26" s="262"/>
      <c r="E26" s="258" t="s">
        <v>20</v>
      </c>
      <c r="F26">
        <v>46087.112999999998</v>
      </c>
      <c r="G26" s="54">
        <f t="shared" si="2"/>
        <v>8.1537602095718809E-2</v>
      </c>
      <c r="H26">
        <v>45773.525125344699</v>
      </c>
      <c r="I26" s="54">
        <f t="shared" si="1"/>
        <v>6.0116116018562149E-2</v>
      </c>
    </row>
    <row r="27" spans="1:9" x14ac:dyDescent="0.25">
      <c r="A27" s="49" t="s">
        <v>21</v>
      </c>
      <c r="B27" s="27">
        <f>'Indicador Blanchard'!M31</f>
        <v>19062.571605365902</v>
      </c>
      <c r="C27" s="257">
        <f t="shared" si="0"/>
        <v>4.9758142133205396E-2</v>
      </c>
      <c r="D27" s="262"/>
      <c r="E27" s="258" t="s">
        <v>21</v>
      </c>
      <c r="F27">
        <v>46740.955999999998</v>
      </c>
      <c r="G27" s="54">
        <f t="shared" si="2"/>
        <v>7.0705748566643134E-2</v>
      </c>
      <c r="H27">
        <v>46412.662427846801</v>
      </c>
      <c r="I27" s="54">
        <f t="shared" si="1"/>
        <v>5.9480695036580045E-2</v>
      </c>
    </row>
    <row r="28" spans="1:9" x14ac:dyDescent="0.25">
      <c r="A28" s="49" t="s">
        <v>22</v>
      </c>
      <c r="B28" s="27">
        <f>'Indicador Blanchard'!M32</f>
        <v>19299.599227987299</v>
      </c>
      <c r="C28" s="257">
        <f t="shared" si="0"/>
        <v>5.044027807956053E-2</v>
      </c>
      <c r="D28" s="262"/>
      <c r="E28" s="258" t="s">
        <v>22</v>
      </c>
      <c r="F28">
        <v>47289.586000000003</v>
      </c>
      <c r="G28" s="54">
        <f t="shared" si="2"/>
        <v>6.0465091455206954E-2</v>
      </c>
      <c r="H28">
        <v>47028.933169639196</v>
      </c>
      <c r="I28" s="54">
        <f t="shared" si="1"/>
        <v>5.7808160115826013E-2</v>
      </c>
    </row>
    <row r="29" spans="1:9" x14ac:dyDescent="0.25">
      <c r="A29" s="49" t="s">
        <v>23</v>
      </c>
      <c r="B29" s="27">
        <f>'Indicador Blanchard'!M33</f>
        <v>19537.2696322355</v>
      </c>
      <c r="C29" s="257">
        <f t="shared" si="0"/>
        <v>5.0581433649280028E-2</v>
      </c>
      <c r="D29" s="262"/>
      <c r="E29" s="258" t="s">
        <v>23</v>
      </c>
      <c r="F29">
        <v>47809.319000000003</v>
      </c>
      <c r="G29" s="54">
        <f t="shared" si="2"/>
        <v>5.2913082669940437E-2</v>
      </c>
      <c r="H29">
        <v>47618.354737406597</v>
      </c>
      <c r="I29" s="54">
        <f t="shared" si="1"/>
        <v>5.5399714905855824E-2</v>
      </c>
    </row>
    <row r="30" spans="1:9" x14ac:dyDescent="0.25">
      <c r="A30" s="49" t="s">
        <v>24</v>
      </c>
      <c r="B30" s="27">
        <f>'Indicador Blanchard'!M34</f>
        <v>19775.410161562599</v>
      </c>
      <c r="C30" s="257">
        <f t="shared" si="0"/>
        <v>5.0349984307041185E-2</v>
      </c>
      <c r="D30" s="262"/>
      <c r="E30" s="258" t="s">
        <v>24</v>
      </c>
      <c r="F30">
        <v>48315.621000000006</v>
      </c>
      <c r="G30" s="54">
        <f t="shared" si="2"/>
        <v>4.8354254691544973E-2</v>
      </c>
      <c r="H30">
        <v>48179.551046137203</v>
      </c>
      <c r="I30" s="54">
        <f t="shared" si="1"/>
        <v>5.2563701707568411E-2</v>
      </c>
    </row>
    <row r="31" spans="1:9" x14ac:dyDescent="0.25">
      <c r="A31" s="49" t="s">
        <v>25</v>
      </c>
      <c r="B31" s="27">
        <f>'Indicador Blanchard'!M35</f>
        <v>20014.503463098699</v>
      </c>
      <c r="C31" s="257">
        <f t="shared" si="0"/>
        <v>4.993722134871037E-2</v>
      </c>
      <c r="D31" s="262"/>
      <c r="E31" s="258" t="s">
        <v>25</v>
      </c>
      <c r="F31">
        <v>48826.254999999997</v>
      </c>
      <c r="G31" s="54">
        <f t="shared" si="2"/>
        <v>4.4613956975976254E-2</v>
      </c>
      <c r="H31">
        <v>48713.055653445401</v>
      </c>
      <c r="I31" s="54">
        <f t="shared" si="1"/>
        <v>4.9563914355803096E-2</v>
      </c>
    </row>
    <row r="32" spans="1:9" x14ac:dyDescent="0.25">
      <c r="A32" s="49" t="s">
        <v>26</v>
      </c>
      <c r="B32" s="27">
        <f>'Indicador Blanchard'!M36</f>
        <v>20255.306082358002</v>
      </c>
      <c r="C32" s="257">
        <f t="shared" si="0"/>
        <v>4.9519518155837439E-2</v>
      </c>
      <c r="D32" s="262"/>
      <c r="E32" s="258" t="s">
        <v>26</v>
      </c>
      <c r="F32">
        <v>49467.333999999995</v>
      </c>
      <c r="G32" s="54">
        <f t="shared" si="2"/>
        <v>4.6051323012216594E-2</v>
      </c>
      <c r="H32">
        <v>49220.762816484101</v>
      </c>
      <c r="I32" s="54">
        <f t="shared" si="1"/>
        <v>4.6605982724266859E-2</v>
      </c>
    </row>
    <row r="33" spans="1:9" x14ac:dyDescent="0.25">
      <c r="A33" s="49" t="s">
        <v>27</v>
      </c>
      <c r="B33" s="27">
        <f>'Indicador Blanchard'!M37</f>
        <v>20498.255530223701</v>
      </c>
      <c r="C33" s="257">
        <f t="shared" si="0"/>
        <v>4.9187318191208362E-2</v>
      </c>
      <c r="D33" s="262"/>
      <c r="E33" s="258" t="s">
        <v>27</v>
      </c>
      <c r="F33">
        <v>49914.614999999998</v>
      </c>
      <c r="G33" s="54">
        <f t="shared" si="2"/>
        <v>4.4035264338318614E-2</v>
      </c>
      <c r="H33">
        <v>49705.698785871798</v>
      </c>
      <c r="I33" s="54">
        <f t="shared" si="1"/>
        <v>4.3834862837574873E-2</v>
      </c>
    </row>
    <row r="34" spans="1:9" x14ac:dyDescent="0.25">
      <c r="A34" s="49" t="s">
        <v>28</v>
      </c>
      <c r="B34" s="27">
        <f>'Indicador Blanchard'!M38</f>
        <v>20743.5332567558</v>
      </c>
      <c r="C34" s="257">
        <f t="shared" si="0"/>
        <v>4.8955904695971331E-2</v>
      </c>
      <c r="D34" s="262"/>
      <c r="E34" s="258" t="s">
        <v>28</v>
      </c>
      <c r="F34">
        <v>50185.183999999994</v>
      </c>
      <c r="G34" s="54">
        <f t="shared" si="2"/>
        <v>3.8694793967358754E-2</v>
      </c>
      <c r="H34">
        <v>50173.355524061997</v>
      </c>
      <c r="I34" s="54">
        <f t="shared" si="1"/>
        <v>4.1382794871116735E-2</v>
      </c>
    </row>
    <row r="35" spans="1:9" x14ac:dyDescent="0.25">
      <c r="A35" s="49" t="s">
        <v>29</v>
      </c>
      <c r="B35" s="27">
        <f>'Indicador Blanchard'!M39</f>
        <v>20990.712156711601</v>
      </c>
      <c r="C35" s="257">
        <f t="shared" si="0"/>
        <v>4.8775064313374861E-2</v>
      </c>
      <c r="D35" s="262"/>
      <c r="E35" s="258" t="s">
        <v>29</v>
      </c>
      <c r="F35">
        <v>50379.531999999992</v>
      </c>
      <c r="G35" s="54">
        <f t="shared" si="2"/>
        <v>3.1812331295938856E-2</v>
      </c>
      <c r="H35">
        <v>50631.314155649801</v>
      </c>
      <c r="I35" s="54">
        <f t="shared" si="1"/>
        <v>3.9378734847825614E-2</v>
      </c>
    </row>
    <row r="36" spans="1:9" x14ac:dyDescent="0.25">
      <c r="A36" s="49" t="s">
        <v>30</v>
      </c>
      <c r="B36" s="27">
        <f>'Indicador Blanchard'!M40</f>
        <v>21238.3387922812</v>
      </c>
      <c r="C36" s="257">
        <f t="shared" si="0"/>
        <v>4.8532108373291916E-2</v>
      </c>
      <c r="D36" s="262"/>
      <c r="E36" s="258" t="s">
        <v>30</v>
      </c>
      <c r="F36">
        <v>50608.031999999999</v>
      </c>
      <c r="G36" s="54">
        <f t="shared" si="2"/>
        <v>2.3059621527208307E-2</v>
      </c>
      <c r="H36">
        <v>51087.274089989398</v>
      </c>
      <c r="I36" s="54">
        <f t="shared" si="1"/>
        <v>3.7921217931230489E-2</v>
      </c>
    </row>
    <row r="37" spans="1:9" x14ac:dyDescent="0.25">
      <c r="A37" s="49" t="s">
        <v>31</v>
      </c>
      <c r="B37" s="27">
        <f>'Indicador Blanchard'!M41</f>
        <v>21482.967604087298</v>
      </c>
      <c r="C37" s="257">
        <f t="shared" si="0"/>
        <v>4.8038823226283167E-2</v>
      </c>
      <c r="D37" s="262"/>
      <c r="E37" s="258" t="s">
        <v>31</v>
      </c>
      <c r="F37">
        <v>51007.777000000002</v>
      </c>
      <c r="G37" s="54">
        <f t="shared" si="2"/>
        <v>2.1900639722454152E-2</v>
      </c>
      <c r="H37">
        <v>51546.416914878602</v>
      </c>
      <c r="I37" s="54">
        <f t="shared" si="1"/>
        <v>3.703233580794163E-2</v>
      </c>
    </row>
    <row r="38" spans="1:9" x14ac:dyDescent="0.25">
      <c r="A38" s="49" t="s">
        <v>32</v>
      </c>
      <c r="B38" s="27">
        <f>'Indicador Blanchard'!M42</f>
        <v>21719.258644829999</v>
      </c>
      <c r="C38" s="257">
        <f t="shared" si="0"/>
        <v>4.7037569540204771E-2</v>
      </c>
      <c r="D38" s="262"/>
      <c r="E38" s="258" t="s">
        <v>32</v>
      </c>
      <c r="F38">
        <v>51662.682000000001</v>
      </c>
      <c r="G38" s="54">
        <f t="shared" si="2"/>
        <v>2.9440920252479463E-2</v>
      </c>
      <c r="H38">
        <v>52009.131797215399</v>
      </c>
      <c r="I38" s="54">
        <f t="shared" si="1"/>
        <v>3.6588668506992938E-2</v>
      </c>
    </row>
    <row r="39" spans="1:9" x14ac:dyDescent="0.25">
      <c r="A39" s="49" t="s">
        <v>33</v>
      </c>
      <c r="B39" s="27">
        <f>'Indicador Blanchard'!M43</f>
        <v>21940.6302911684</v>
      </c>
      <c r="C39" s="257">
        <f t="shared" si="0"/>
        <v>4.5254211832592484E-2</v>
      </c>
      <c r="D39" s="262"/>
      <c r="E39" s="258" t="s">
        <v>33</v>
      </c>
      <c r="F39">
        <v>52459.264000000003</v>
      </c>
      <c r="G39" s="54">
        <f t="shared" si="2"/>
        <v>4.1281288599505306E-2</v>
      </c>
      <c r="H39">
        <v>52470.421504748898</v>
      </c>
      <c r="I39" s="54">
        <f t="shared" si="1"/>
        <v>3.6323515985489774E-2</v>
      </c>
    </row>
    <row r="40" spans="1:9" x14ac:dyDescent="0.25">
      <c r="A40" s="49" t="s">
        <v>34</v>
      </c>
      <c r="B40" s="27">
        <f>'Indicador Blanchard'!M44</f>
        <v>22139.988333313398</v>
      </c>
      <c r="C40" s="257">
        <f t="shared" si="0"/>
        <v>4.2453863734384534E-2</v>
      </c>
      <c r="D40" s="262"/>
      <c r="E40" s="258" t="s">
        <v>34</v>
      </c>
      <c r="F40">
        <v>53327.000999999997</v>
      </c>
      <c r="G40" s="54">
        <f t="shared" si="2"/>
        <v>5.3726037005351168E-2</v>
      </c>
      <c r="H40">
        <v>52921.824307256102</v>
      </c>
      <c r="I40" s="54">
        <f t="shared" si="1"/>
        <v>3.5910121452852994E-2</v>
      </c>
    </row>
    <row r="41" spans="1:9" x14ac:dyDescent="0.25">
      <c r="A41" s="49" t="s">
        <v>35</v>
      </c>
      <c r="B41" s="27">
        <f>'Indicador Blanchard'!M45</f>
        <v>22312.248258564101</v>
      </c>
      <c r="C41" s="257">
        <f t="shared" si="0"/>
        <v>3.8601773728831779E-2</v>
      </c>
      <c r="D41" s="262"/>
      <c r="E41" s="258" t="s">
        <v>35</v>
      </c>
      <c r="F41">
        <v>54250.408000000003</v>
      </c>
      <c r="G41" s="54">
        <f t="shared" si="2"/>
        <v>6.3571305999083227E-2</v>
      </c>
      <c r="H41">
        <v>53354.766899466398</v>
      </c>
      <c r="I41" s="54">
        <f t="shared" si="1"/>
        <v>3.5081972575785825E-2</v>
      </c>
    </row>
    <row r="42" spans="1:9" x14ac:dyDescent="0.25">
      <c r="A42" s="49" t="s">
        <v>36</v>
      </c>
      <c r="B42" s="27">
        <f>'Indicador Blanchard'!M46</f>
        <v>22456.073670886599</v>
      </c>
      <c r="C42" s="257">
        <f t="shared" si="0"/>
        <v>3.392450166488481E-2</v>
      </c>
      <c r="D42" s="262"/>
      <c r="E42" s="258" t="s">
        <v>36</v>
      </c>
      <c r="F42">
        <v>54768.014999999999</v>
      </c>
      <c r="G42" s="54">
        <f t="shared" si="2"/>
        <v>6.0107855027735413E-2</v>
      </c>
      <c r="H42">
        <v>53764.727743036899</v>
      </c>
      <c r="I42" s="54">
        <f t="shared" si="1"/>
        <v>3.3755532637356866E-2</v>
      </c>
    </row>
    <row r="43" spans="1:9" x14ac:dyDescent="0.25">
      <c r="A43" s="49" t="s">
        <v>37</v>
      </c>
      <c r="B43" s="27">
        <f>'Indicador Blanchard'!M47</f>
        <v>22576.498691661101</v>
      </c>
      <c r="C43" s="257">
        <f t="shared" si="0"/>
        <v>2.898131877043908E-2</v>
      </c>
      <c r="D43" s="262"/>
      <c r="E43" s="258" t="s">
        <v>37</v>
      </c>
      <c r="F43">
        <v>54993.789000000004</v>
      </c>
      <c r="G43" s="54">
        <f t="shared" si="2"/>
        <v>4.8314154769689477E-2</v>
      </c>
      <c r="H43">
        <v>54156.141710629803</v>
      </c>
      <c r="I43" s="54">
        <f t="shared" si="1"/>
        <v>3.2127056683322719E-2</v>
      </c>
    </row>
    <row r="44" spans="1:9" x14ac:dyDescent="0.25">
      <c r="A44" s="49" t="s">
        <v>38</v>
      </c>
      <c r="B44" s="27">
        <f>'Indicador Blanchard'!M48</f>
        <v>22684.757705559299</v>
      </c>
      <c r="C44" s="257">
        <f t="shared" si="0"/>
        <v>2.4605675669042704E-2</v>
      </c>
      <c r="D44" s="262"/>
      <c r="E44" s="258" t="s">
        <v>38</v>
      </c>
      <c r="F44">
        <v>54884.059000000001</v>
      </c>
      <c r="G44" s="54">
        <f t="shared" si="2"/>
        <v>2.9198304251161655E-2</v>
      </c>
      <c r="H44">
        <v>54543.476547476799</v>
      </c>
      <c r="I44" s="54">
        <f t="shared" si="1"/>
        <v>3.064241003495316E-2</v>
      </c>
    </row>
    <row r="45" spans="1:9" x14ac:dyDescent="0.25">
      <c r="A45" s="49" t="s">
        <v>39</v>
      </c>
      <c r="B45" s="27">
        <f>'Indicador Blanchard'!M49</f>
        <v>22796.069110336099</v>
      </c>
      <c r="C45" s="257">
        <f t="shared" si="0"/>
        <v>2.1684092349873119E-2</v>
      </c>
      <c r="D45" s="262"/>
      <c r="E45" s="258" t="s">
        <v>39</v>
      </c>
      <c r="F45">
        <v>54557.732000000004</v>
      </c>
      <c r="G45" s="54">
        <f t="shared" si="2"/>
        <v>5.6649159210009348E-3</v>
      </c>
      <c r="H45">
        <v>54949.576471703702</v>
      </c>
      <c r="I45" s="54">
        <f t="shared" si="1"/>
        <v>2.9890667037161256E-2</v>
      </c>
    </row>
    <row r="46" spans="1:9" x14ac:dyDescent="0.25">
      <c r="A46" s="49" t="s">
        <v>40</v>
      </c>
      <c r="B46" s="27">
        <f>'Indicador Blanchard'!M50</f>
        <v>22926.559726690601</v>
      </c>
      <c r="C46" s="257">
        <f t="shared" si="0"/>
        <v>2.0951394384405075E-2</v>
      </c>
      <c r="D46" s="262"/>
      <c r="E46" s="258" t="s">
        <v>40</v>
      </c>
      <c r="F46">
        <v>54581.367000000006</v>
      </c>
      <c r="G46" s="54">
        <f t="shared" si="2"/>
        <v>-3.4079745267378003E-3</v>
      </c>
      <c r="H46">
        <v>55400.6915259612</v>
      </c>
      <c r="I46" s="54">
        <f t="shared" si="1"/>
        <v>3.0428198032420584E-2</v>
      </c>
    </row>
    <row r="47" spans="1:9" x14ac:dyDescent="0.25">
      <c r="A47" s="49" t="s">
        <v>41</v>
      </c>
      <c r="B47" s="27">
        <f>'Indicador Blanchard'!M51</f>
        <v>23088.880684218901</v>
      </c>
      <c r="C47" s="257">
        <f t="shared" si="0"/>
        <v>2.2695370064050424E-2</v>
      </c>
      <c r="D47" s="262"/>
      <c r="E47" s="258" t="s">
        <v>41</v>
      </c>
      <c r="F47">
        <v>54874.240000000005</v>
      </c>
      <c r="G47" s="54">
        <f t="shared" si="2"/>
        <v>-2.1738636703136915E-3</v>
      </c>
      <c r="H47">
        <v>55919.1533081831</v>
      </c>
      <c r="I47" s="54">
        <f t="shared" si="1"/>
        <v>3.2554231927627297E-2</v>
      </c>
    </row>
    <row r="48" spans="1:9" x14ac:dyDescent="0.25">
      <c r="A48" s="49" t="s">
        <v>42</v>
      </c>
      <c r="B48" s="27">
        <f>'Indicador Blanchard'!M52</f>
        <v>23290.69051525</v>
      </c>
      <c r="C48" s="257">
        <f t="shared" si="0"/>
        <v>2.6711010871507179E-2</v>
      </c>
      <c r="D48" s="262"/>
      <c r="E48" s="258" t="s">
        <v>42</v>
      </c>
      <c r="F48">
        <v>55474.311000000002</v>
      </c>
      <c r="G48" s="54">
        <f t="shared" si="2"/>
        <v>1.0754525280282312E-2</v>
      </c>
      <c r="H48">
        <v>56519.100171043603</v>
      </c>
      <c r="I48" s="54">
        <f t="shared" si="1"/>
        <v>3.6221079927810207E-2</v>
      </c>
    </row>
    <row r="49" spans="1:9" x14ac:dyDescent="0.25">
      <c r="A49" s="49" t="s">
        <v>43</v>
      </c>
      <c r="B49" s="27">
        <f>'Indicador Blanchard'!M53</f>
        <v>23534.167945270699</v>
      </c>
      <c r="C49" s="257">
        <f t="shared" si="0"/>
        <v>3.2378338184627431E-2</v>
      </c>
      <c r="D49" s="262"/>
      <c r="E49" s="258" t="s">
        <v>43</v>
      </c>
      <c r="F49">
        <v>56481.055</v>
      </c>
      <c r="G49" s="54">
        <f t="shared" si="2"/>
        <v>3.5252986689402688E-2</v>
      </c>
      <c r="H49">
        <v>57204.221334134898</v>
      </c>
      <c r="I49" s="54">
        <f t="shared" si="1"/>
        <v>4.1031159968853093E-2</v>
      </c>
    </row>
    <row r="50" spans="1:9" x14ac:dyDescent="0.25">
      <c r="A50" s="49" t="s">
        <v>44</v>
      </c>
      <c r="B50" s="27">
        <f>'Indicador Blanchard'!M54</f>
        <v>23816.675794615399</v>
      </c>
      <c r="C50" s="257">
        <f t="shared" si="0"/>
        <v>3.8824667919476141E-2</v>
      </c>
      <c r="D50" s="262"/>
      <c r="E50" s="258" t="s">
        <v>44</v>
      </c>
      <c r="F50">
        <v>57533.422999999995</v>
      </c>
      <c r="G50" s="54">
        <f t="shared" si="2"/>
        <v>5.4085417098475919E-2</v>
      </c>
      <c r="H50">
        <v>57967.7581253389</v>
      </c>
      <c r="I50" s="54">
        <f t="shared" si="1"/>
        <v>4.6336363837168992E-2</v>
      </c>
    </row>
    <row r="51" spans="1:9" x14ac:dyDescent="0.25">
      <c r="A51" s="49" t="s">
        <v>45</v>
      </c>
      <c r="B51" s="27">
        <f>'Indicador Blanchard'!M55</f>
        <v>24132.356204165601</v>
      </c>
      <c r="C51" s="257">
        <f t="shared" si="0"/>
        <v>4.5193854748442064E-2</v>
      </c>
      <c r="D51" s="262"/>
      <c r="E51" s="258" t="s">
        <v>45</v>
      </c>
      <c r="F51">
        <v>58716.678</v>
      </c>
      <c r="G51" s="54">
        <f t="shared" si="2"/>
        <v>7.0022618992080732E-2</v>
      </c>
      <c r="H51">
        <v>58795.720209196101</v>
      </c>
      <c r="I51" s="54">
        <f t="shared" si="1"/>
        <v>5.1441531762106418E-2</v>
      </c>
    </row>
    <row r="52" spans="1:9" x14ac:dyDescent="0.25">
      <c r="A52" s="49" t="s">
        <v>46</v>
      </c>
      <c r="B52" s="27">
        <f>'Indicador Blanchard'!M56</f>
        <v>24473.2905568569</v>
      </c>
      <c r="C52" s="257">
        <f t="shared" si="0"/>
        <v>5.0775653939181042E-2</v>
      </c>
      <c r="D52" s="262"/>
      <c r="E52" s="258" t="s">
        <v>46</v>
      </c>
      <c r="F52">
        <v>59947.873999999996</v>
      </c>
      <c r="G52" s="54">
        <f t="shared" si="2"/>
        <v>8.0642065117311645E-2</v>
      </c>
      <c r="H52">
        <v>59669.773898993699</v>
      </c>
      <c r="I52" s="54">
        <f t="shared" si="1"/>
        <v>5.5745291740583625E-2</v>
      </c>
    </row>
    <row r="53" spans="1:9" x14ac:dyDescent="0.25">
      <c r="A53" s="49" t="s">
        <v>47</v>
      </c>
      <c r="B53" s="27">
        <f>'Indicador Blanchard'!M57</f>
        <v>24831.052673582999</v>
      </c>
      <c r="C53" s="257">
        <f t="shared" si="0"/>
        <v>5.5106461861249567E-2</v>
      </c>
      <c r="D53" s="262"/>
      <c r="E53" s="258" t="s">
        <v>47</v>
      </c>
      <c r="F53">
        <v>60882.626000000004</v>
      </c>
      <c r="G53" s="54">
        <f t="shared" si="2"/>
        <v>7.7930042206187711E-2</v>
      </c>
      <c r="H53">
        <v>60570.7950859271</v>
      </c>
      <c r="I53" s="54">
        <f t="shared" si="1"/>
        <v>5.8851841232620661E-2</v>
      </c>
    </row>
    <row r="54" spans="1:9" x14ac:dyDescent="0.25">
      <c r="A54" s="49" t="s">
        <v>128</v>
      </c>
      <c r="B54" s="27">
        <f>'Indicador Blanchard'!M58</f>
        <v>25197.830469669301</v>
      </c>
      <c r="C54" s="257">
        <f t="shared" si="0"/>
        <v>5.7991076796962693E-2</v>
      </c>
      <c r="D54" s="262"/>
      <c r="E54" s="258" t="s">
        <v>128</v>
      </c>
      <c r="F54">
        <v>61861.004000000001</v>
      </c>
      <c r="G54" s="54">
        <f t="shared" si="2"/>
        <v>7.5218556003525228E-2</v>
      </c>
      <c r="H54">
        <v>61482.440662201399</v>
      </c>
      <c r="I54" s="54">
        <f t="shared" si="1"/>
        <v>6.0631679584071341E-2</v>
      </c>
    </row>
    <row r="55" spans="1:9" x14ac:dyDescent="0.25">
      <c r="A55" s="49" t="s">
        <v>49</v>
      </c>
      <c r="B55" s="27">
        <f>'Indicador Blanchard'!M59</f>
        <v>25566.155333705301</v>
      </c>
      <c r="C55" s="257">
        <f t="shared" si="0"/>
        <v>5.941397174023999E-2</v>
      </c>
      <c r="D55" s="262"/>
      <c r="E55" s="258" t="s">
        <v>49</v>
      </c>
      <c r="F55">
        <v>62714.222999999998</v>
      </c>
      <c r="G55" s="54">
        <f t="shared" si="2"/>
        <v>6.8081934063095373E-2</v>
      </c>
      <c r="H55">
        <v>62391.485829162899</v>
      </c>
      <c r="I55" s="54">
        <f t="shared" si="1"/>
        <v>6.1156927871161448E-2</v>
      </c>
    </row>
    <row r="56" spans="1:9" x14ac:dyDescent="0.25">
      <c r="A56" s="49" t="s">
        <v>179</v>
      </c>
      <c r="B56" s="27">
        <f>'Indicador Blanchard'!M60</f>
        <v>25929.161349583599</v>
      </c>
      <c r="C56" s="257">
        <f t="shared" si="0"/>
        <v>5.948815053473866E-2</v>
      </c>
      <c r="D56" s="262"/>
      <c r="E56" s="258" t="s">
        <v>179</v>
      </c>
      <c r="F56">
        <v>63371.235000000001</v>
      </c>
      <c r="G56" s="54">
        <f t="shared" si="2"/>
        <v>5.7105628132867681E-2</v>
      </c>
      <c r="H56">
        <v>63288.491421535698</v>
      </c>
      <c r="I56" s="54">
        <f t="shared" si="1"/>
        <v>6.0645738806847094E-2</v>
      </c>
    </row>
    <row r="57" spans="1:9" x14ac:dyDescent="0.25">
      <c r="A57" s="49" t="s">
        <v>180</v>
      </c>
      <c r="B57" s="27">
        <f>'Indicador Blanchard'!M61</f>
        <v>26280.58504786</v>
      </c>
      <c r="C57" s="257">
        <f t="shared" si="0"/>
        <v>5.8375792332763909E-2</v>
      </c>
      <c r="D57" s="262"/>
      <c r="E57" s="258" t="s">
        <v>180</v>
      </c>
      <c r="F57">
        <v>64009.534</v>
      </c>
      <c r="G57" s="54">
        <f t="shared" si="2"/>
        <v>5.1359611196796884E-2</v>
      </c>
      <c r="H57">
        <v>64167.245645752097</v>
      </c>
      <c r="I57" s="54">
        <f t="shared" si="1"/>
        <v>5.9375983998938509E-2</v>
      </c>
    </row>
    <row r="58" spans="1:9" x14ac:dyDescent="0.25">
      <c r="A58" s="49" t="s">
        <v>181</v>
      </c>
      <c r="B58" s="27">
        <f>'Indicador Blanchard'!M62</f>
        <v>26614.235345594399</v>
      </c>
      <c r="C58" s="257">
        <f t="shared" si="0"/>
        <v>5.6211382072358429E-2</v>
      </c>
      <c r="D58" s="262"/>
      <c r="E58" s="258" t="s">
        <v>181</v>
      </c>
      <c r="F58">
        <v>64692.668999999994</v>
      </c>
      <c r="G58" s="54">
        <f t="shared" si="2"/>
        <v>4.5774636958688664E-2</v>
      </c>
      <c r="H58">
        <v>65022.364144029401</v>
      </c>
      <c r="I58" s="54">
        <f t="shared" si="1"/>
        <v>5.7576170426889117E-2</v>
      </c>
    </row>
    <row r="59" spans="1:9" x14ac:dyDescent="0.25">
      <c r="A59" s="49" t="s">
        <v>182</v>
      </c>
      <c r="B59" s="27">
        <f>'Indicador Blanchard'!M63</f>
        <v>26923.371309368002</v>
      </c>
      <c r="C59" s="257">
        <f t="shared" si="0"/>
        <v>5.3086432353534496E-2</v>
      </c>
      <c r="D59" s="262"/>
      <c r="E59" s="258" t="s">
        <v>182</v>
      </c>
      <c r="F59">
        <v>65501.832000000009</v>
      </c>
      <c r="G59" s="54">
        <f t="shared" si="2"/>
        <v>4.4449390690848745E-2</v>
      </c>
      <c r="H59">
        <v>65846.885442126993</v>
      </c>
      <c r="I59" s="54">
        <f t="shared" si="1"/>
        <v>5.5382550472118819E-2</v>
      </c>
    </row>
    <row r="60" spans="1:9" x14ac:dyDescent="0.25">
      <c r="A60" s="49" t="s">
        <v>183</v>
      </c>
      <c r="B60" s="27">
        <f>'Indicador Blanchard'!M64</f>
        <v>27200.802652306302</v>
      </c>
      <c r="C60" s="257">
        <f t="shared" si="0"/>
        <v>4.9042901371861181E-2</v>
      </c>
      <c r="D60" s="262"/>
      <c r="E60" s="258" t="s">
        <v>183</v>
      </c>
      <c r="F60">
        <v>66565.666999999987</v>
      </c>
      <c r="G60" s="54">
        <f t="shared" si="2"/>
        <v>5.0408233325419438E-2</v>
      </c>
      <c r="H60">
        <v>66630.551114364294</v>
      </c>
      <c r="I60" s="54">
        <f t="shared" si="1"/>
        <v>5.2806752345677888E-2</v>
      </c>
    </row>
    <row r="61" spans="1:9" x14ac:dyDescent="0.25">
      <c r="A61" s="49" t="s">
        <v>184</v>
      </c>
      <c r="B61" s="27">
        <f>'Indicador Blanchard'!M65</f>
        <v>27439.5053744408</v>
      </c>
      <c r="C61" s="257">
        <f t="shared" si="0"/>
        <v>4.409796526486276E-2</v>
      </c>
      <c r="D61" s="261"/>
      <c r="E61" s="258" t="s">
        <v>184</v>
      </c>
      <c r="F61">
        <v>67546.127999999997</v>
      </c>
      <c r="G61" s="54">
        <f t="shared" si="2"/>
        <v>5.5251050570060301E-2</v>
      </c>
      <c r="H61">
        <v>67359.652200639495</v>
      </c>
      <c r="I61" s="54">
        <f t="shared" si="1"/>
        <v>4.9751341556901307E-2</v>
      </c>
    </row>
    <row r="62" spans="1:9" x14ac:dyDescent="0.25">
      <c r="A62" s="49" t="s">
        <v>185</v>
      </c>
      <c r="B62" s="27">
        <f>'Indicador Blanchard'!M66</f>
        <v>27633.5114492801</v>
      </c>
      <c r="C62" s="257">
        <f t="shared" si="0"/>
        <v>3.8298154745010526E-2</v>
      </c>
      <c r="D62" s="261"/>
      <c r="E62" s="258" t="s">
        <v>185</v>
      </c>
      <c r="F62">
        <v>68183.490999999995</v>
      </c>
      <c r="G62" s="54">
        <f t="shared" si="2"/>
        <v>5.3960086265725016E-2</v>
      </c>
      <c r="H62">
        <v>68019.830899706896</v>
      </c>
      <c r="I62" s="54">
        <f t="shared" si="1"/>
        <v>4.6099012165074171E-2</v>
      </c>
    </row>
    <row r="63" spans="1:9" x14ac:dyDescent="0.25">
      <c r="A63" s="49" t="s">
        <v>186</v>
      </c>
      <c r="B63" s="27">
        <f>'Indicador Blanchard'!M67</f>
        <v>27779.6357965885</v>
      </c>
      <c r="C63" s="257">
        <f t="shared" si="0"/>
        <v>3.1803761771935335E-2</v>
      </c>
      <c r="D63" s="261"/>
      <c r="E63" s="258" t="s">
        <v>186</v>
      </c>
      <c r="F63">
        <v>68875.313999999998</v>
      </c>
      <c r="G63" s="54">
        <f t="shared" si="2"/>
        <v>5.1502101498474007E-2</v>
      </c>
      <c r="H63">
        <v>68598.594168314696</v>
      </c>
      <c r="I63" s="54">
        <f t="shared" si="1"/>
        <v>4.1789504662391064E-2</v>
      </c>
    </row>
    <row r="64" spans="1:9" x14ac:dyDescent="0.25">
      <c r="A64" s="49" t="s">
        <v>187</v>
      </c>
      <c r="B64" s="27">
        <f>'Indicador Blanchard'!M68</f>
        <v>27876.797221637298</v>
      </c>
      <c r="C64" s="257">
        <f t="shared" si="0"/>
        <v>2.4852008154754968E-2</v>
      </c>
      <c r="D64" s="261"/>
      <c r="E64" s="258" t="s">
        <v>187</v>
      </c>
      <c r="F64">
        <v>69479.71699999999</v>
      </c>
      <c r="G64" s="54">
        <f t="shared" si="2"/>
        <v>4.3777072045263266E-2</v>
      </c>
      <c r="H64">
        <v>69085.085564213805</v>
      </c>
      <c r="I64" s="54">
        <f t="shared" si="1"/>
        <v>3.6837973103907906E-2</v>
      </c>
    </row>
    <row r="65" spans="1:9" x14ac:dyDescent="0.25">
      <c r="A65" s="49" t="s">
        <v>188</v>
      </c>
      <c r="B65" s="27">
        <f>'Indicador Blanchard'!M69</f>
        <v>27925.5571717321</v>
      </c>
      <c r="C65" s="257">
        <f t="shared" si="0"/>
        <v>1.7713577218634757E-2</v>
      </c>
      <c r="D65" s="261"/>
      <c r="E65" s="258" t="s">
        <v>188</v>
      </c>
      <c r="F65">
        <v>70105.361999999994</v>
      </c>
      <c r="G65" s="54">
        <f t="shared" si="2"/>
        <v>3.7888685492083241E-2</v>
      </c>
      <c r="H65">
        <v>69471.215843472106</v>
      </c>
      <c r="I65" s="54">
        <f t="shared" si="1"/>
        <v>3.1347603110286837E-2</v>
      </c>
    </row>
    <row r="66" spans="1:9" x14ac:dyDescent="0.25">
      <c r="A66" s="49" t="s">
        <v>144</v>
      </c>
      <c r="B66" s="27">
        <f>'Indicador Blanchard'!M70</f>
        <v>27928.688121962001</v>
      </c>
      <c r="C66" s="257">
        <f t="shared" si="0"/>
        <v>1.0681837276586448E-2</v>
      </c>
      <c r="D66" s="261"/>
      <c r="E66" s="258" t="s">
        <v>144</v>
      </c>
      <c r="F66">
        <v>70825.335999999996</v>
      </c>
      <c r="G66" s="54">
        <f t="shared" si="2"/>
        <v>3.8746109377121751E-2</v>
      </c>
      <c r="H66">
        <v>69752.842076515299</v>
      </c>
      <c r="I66" s="54">
        <f t="shared" si="1"/>
        <v>2.5478028302711841E-2</v>
      </c>
    </row>
    <row r="67" spans="1:9" x14ac:dyDescent="0.25">
      <c r="A67" s="49" t="s">
        <v>147</v>
      </c>
      <c r="B67" s="27">
        <f>'Indicador Blanchard'!M71</f>
        <v>27891.280975698799</v>
      </c>
      <c r="C67" s="257">
        <f t="shared" si="0"/>
        <v>4.0189576252116499E-3</v>
      </c>
      <c r="D67" s="261"/>
      <c r="E67" s="258" t="s">
        <v>147</v>
      </c>
      <c r="F67">
        <v>70869.042000000001</v>
      </c>
      <c r="G67" s="54">
        <f t="shared" si="2"/>
        <v>2.8946917033292996E-2</v>
      </c>
      <c r="H67">
        <v>69932.162795334298</v>
      </c>
      <c r="I67" s="54">
        <f t="shared" si="1"/>
        <v>1.9440174294935719E-2</v>
      </c>
    </row>
    <row r="68" spans="1:9" x14ac:dyDescent="0.25">
      <c r="A68" s="49" t="s">
        <v>148</v>
      </c>
      <c r="B68" s="27">
        <f>'Indicador Blanchard'!M72</f>
        <v>27822.720755094699</v>
      </c>
      <c r="C68" s="257">
        <f t="shared" si="0"/>
        <v>-1.9398378555707252E-3</v>
      </c>
      <c r="D68" s="261"/>
      <c r="E68" s="258" t="s">
        <v>148</v>
      </c>
      <c r="F68">
        <v>70625.244999999995</v>
      </c>
      <c r="G68" s="54">
        <f t="shared" si="2"/>
        <v>1.6487228927544617E-2</v>
      </c>
      <c r="H68">
        <v>70022.101471154907</v>
      </c>
      <c r="I68" s="54">
        <f t="shared" si="1"/>
        <v>1.3563215552076846E-2</v>
      </c>
    </row>
    <row r="69" spans="1:9" x14ac:dyDescent="0.25">
      <c r="A69" s="49" t="s">
        <v>149</v>
      </c>
      <c r="B69" s="27">
        <f>'Indicador Blanchard'!M73</f>
        <v>27736.128672545001</v>
      </c>
      <c r="C69" s="257">
        <f t="shared" si="0"/>
        <v>-6.7833382167518108E-3</v>
      </c>
      <c r="D69" s="261"/>
      <c r="E69" s="258" t="s">
        <v>149</v>
      </c>
      <c r="F69">
        <v>70174.676999999996</v>
      </c>
      <c r="G69" s="54">
        <f t="shared" si="2"/>
        <v>9.8872608346289859E-4</v>
      </c>
      <c r="H69">
        <v>70044.950367249505</v>
      </c>
      <c r="I69" s="54">
        <f t="shared" si="1"/>
        <v>8.2585933873691175E-3</v>
      </c>
    </row>
    <row r="70" spans="1:9" x14ac:dyDescent="0.25">
      <c r="A70" s="49" t="s">
        <v>150</v>
      </c>
      <c r="B70" s="27">
        <f>'Indicador Blanchard'!M74</f>
        <v>27646.4677328939</v>
      </c>
      <c r="C70" s="257">
        <f t="shared" si="0"/>
        <v>-1.0105035647778093E-2</v>
      </c>
      <c r="D70" s="261"/>
      <c r="E70" s="258" t="s">
        <v>150</v>
      </c>
      <c r="F70">
        <v>69453.347000000009</v>
      </c>
      <c r="G70" s="54">
        <f t="shared" si="2"/>
        <v>-1.9371443574937475E-2</v>
      </c>
      <c r="H70">
        <v>70029.033182179104</v>
      </c>
      <c r="I70" s="54">
        <f t="shared" si="1"/>
        <v>3.9595677744690416E-3</v>
      </c>
    </row>
    <row r="71" spans="1:9" x14ac:dyDescent="0.25">
      <c r="A71" s="222" t="s">
        <v>151</v>
      </c>
      <c r="B71" s="27">
        <f>'Indicador Blanchard'!M75</f>
        <v>27568.281654260201</v>
      </c>
      <c r="C71" s="257">
        <f t="shared" ref="C71:C77" si="3">+B71/B67-1</f>
        <v>-1.1580655679458429E-2</v>
      </c>
      <c r="D71" s="261"/>
      <c r="E71" s="259" t="s">
        <v>151</v>
      </c>
      <c r="F71">
        <v>69156.02900000001</v>
      </c>
      <c r="G71" s="54">
        <f t="shared" ref="G71:G76" si="4">F71/F67-1</f>
        <v>-2.4171527533841775E-2</v>
      </c>
      <c r="H71">
        <v>70003.970880832203</v>
      </c>
      <c r="I71" s="54">
        <f t="shared" ref="I71:I76" si="5">H71/H67-1</f>
        <v>1.0268248918321454E-3</v>
      </c>
    </row>
    <row r="72" spans="1:9" x14ac:dyDescent="0.25">
      <c r="A72" s="226" t="s">
        <v>152</v>
      </c>
      <c r="B72" s="27">
        <f>'Indicador Blanchard'!M76</f>
        <v>27512.3614774337</v>
      </c>
      <c r="C72" s="257">
        <f t="shared" si="3"/>
        <v>-1.1154885979444251E-2</v>
      </c>
      <c r="D72" s="261"/>
      <c r="E72" s="260" t="s">
        <v>152</v>
      </c>
      <c r="F72">
        <v>68897.771999999997</v>
      </c>
      <c r="G72" s="54">
        <f t="shared" si="4"/>
        <v>-2.4459709838882682E-2</v>
      </c>
      <c r="H72">
        <v>69993.627566275303</v>
      </c>
      <c r="I72" s="54">
        <f t="shared" si="5"/>
        <v>-4.0664167857529243E-4</v>
      </c>
    </row>
    <row r="73" spans="1:9" x14ac:dyDescent="0.25">
      <c r="A73" s="226" t="s">
        <v>153</v>
      </c>
      <c r="B73" s="27">
        <f>'Indicador Blanchard'!M77</f>
        <v>27484.300426661899</v>
      </c>
      <c r="C73" s="257">
        <f t="shared" si="3"/>
        <v>-9.0794302570559315E-3</v>
      </c>
      <c r="D73" s="261"/>
      <c r="E73" s="260" t="s">
        <v>153</v>
      </c>
      <c r="F73">
        <v>69068.457999999999</v>
      </c>
      <c r="G73" s="54">
        <f t="shared" si="4"/>
        <v>-1.5763791830491702E-2</v>
      </c>
      <c r="H73">
        <v>70013.387922766793</v>
      </c>
      <c r="I73" s="54">
        <f t="shared" si="5"/>
        <v>-4.5060271036279076E-4</v>
      </c>
    </row>
    <row r="74" spans="1:9" x14ac:dyDescent="0.25">
      <c r="A74" s="226" t="s">
        <v>170</v>
      </c>
      <c r="B74" s="27">
        <f>'Indicador Blanchard'!M78</f>
        <v>27483.608111417499</v>
      </c>
      <c r="C74" s="257">
        <f t="shared" si="3"/>
        <v>-5.8907931041992656E-3</v>
      </c>
      <c r="D74" s="261"/>
      <c r="E74" s="260" t="s">
        <v>170</v>
      </c>
      <c r="F74">
        <v>69532.542000000001</v>
      </c>
      <c r="G74" s="54">
        <f t="shared" si="4"/>
        <v>1.1402618220830441E-3</v>
      </c>
      <c r="H74">
        <v>70067.678078902507</v>
      </c>
      <c r="I74" s="54">
        <f t="shared" si="5"/>
        <v>5.5184107172912E-4</v>
      </c>
    </row>
    <row r="75" spans="1:9" x14ac:dyDescent="0.25">
      <c r="A75" s="226" t="s">
        <v>172</v>
      </c>
      <c r="B75" s="27">
        <f>'Indicador Blanchard'!M79</f>
        <v>27504.706136907102</v>
      </c>
      <c r="C75" s="257">
        <f t="shared" si="3"/>
        <v>-2.306110991987631E-3</v>
      </c>
      <c r="D75" s="261"/>
      <c r="E75" s="260" t="s">
        <v>172</v>
      </c>
      <c r="F75">
        <v>70049.88</v>
      </c>
      <c r="G75" s="54">
        <f t="shared" si="4"/>
        <v>1.2925134842545649E-2</v>
      </c>
      <c r="H75">
        <v>70151.474864050106</v>
      </c>
      <c r="I75" s="54">
        <f t="shared" si="5"/>
        <v>2.1070802321914162E-3</v>
      </c>
    </row>
    <row r="76" spans="1:9" x14ac:dyDescent="0.25">
      <c r="A76" s="49" t="s">
        <v>174</v>
      </c>
      <c r="B76" s="27">
        <f>'Indicador Blanchard'!M80</f>
        <v>27539.3790272226</v>
      </c>
      <c r="C76" s="257">
        <f t="shared" si="3"/>
        <v>9.8201493212646263E-4</v>
      </c>
      <c r="D76" s="261"/>
      <c r="E76" s="258" t="s">
        <v>174</v>
      </c>
      <c r="F76">
        <v>70619.289999999994</v>
      </c>
      <c r="G76" s="54">
        <f t="shared" si="4"/>
        <v>2.4986555443331282E-2</v>
      </c>
      <c r="H76">
        <v>70254.403746788696</v>
      </c>
      <c r="I76" s="54">
        <f t="shared" si="5"/>
        <v>3.7257131767669538E-3</v>
      </c>
    </row>
    <row r="77" spans="1:9" x14ac:dyDescent="0.25">
      <c r="A77" s="49" t="s">
        <v>190</v>
      </c>
      <c r="B77" s="27">
        <f>'Indicador Blanchard'!M81</f>
        <v>27579.4672450873</v>
      </c>
      <c r="C77" s="257">
        <f t="shared" si="3"/>
        <v>3.4625883485497333E-3</v>
      </c>
      <c r="D77" s="261"/>
      <c r="E77" s="258" t="s">
        <v>190</v>
      </c>
      <c r="F77">
        <v>71139.236000000004</v>
      </c>
      <c r="G77" s="54">
        <f>F77/F73-1</f>
        <v>2.9981529340064483E-2</v>
      </c>
      <c r="H77">
        <v>70365.074247056793</v>
      </c>
      <c r="I77" s="54">
        <f>H77/H73-1</f>
        <v>5.0231296431184624E-3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3"/>
  <sheetViews>
    <sheetView workbookViewId="0">
      <selection activeCell="A2" sqref="A2:A73"/>
    </sheetView>
  </sheetViews>
  <sheetFormatPr baseColWidth="10" defaultRowHeight="15" x14ac:dyDescent="0.25"/>
  <cols>
    <col min="1" max="1" width="7" style="314" customWidth="1"/>
    <col min="2" max="2" width="13.5703125" style="281" customWidth="1"/>
    <col min="3" max="3" width="15.42578125" style="281" customWidth="1"/>
    <col min="4" max="4" width="22.7109375" style="279" customWidth="1"/>
    <col min="5" max="5" width="9.5703125" style="290" customWidth="1"/>
    <col min="6" max="6" width="14.140625" style="294" bestFit="1" customWidth="1"/>
    <col min="7" max="7" width="13.28515625" style="294" customWidth="1"/>
    <col min="8" max="8" width="16" style="294" customWidth="1"/>
    <col min="9" max="9" width="22.7109375" style="283" customWidth="1"/>
    <col min="10" max="10" width="11.5703125" style="288" customWidth="1"/>
    <col min="11" max="11" width="14.5703125" style="296" customWidth="1"/>
    <col min="12" max="12" width="13.5703125" style="291" bestFit="1" customWidth="1"/>
    <col min="13" max="13" width="13.42578125" customWidth="1"/>
  </cols>
  <sheetData>
    <row r="1" spans="1:12" ht="39" customHeight="1" thickBot="1" x14ac:dyDescent="0.3">
      <c r="A1" s="316"/>
      <c r="B1" s="307" t="s">
        <v>99</v>
      </c>
      <c r="C1" s="307" t="s">
        <v>134</v>
      </c>
      <c r="D1" s="308" t="s">
        <v>100</v>
      </c>
      <c r="E1" s="309" t="s">
        <v>240</v>
      </c>
      <c r="F1" s="310" t="s">
        <v>101</v>
      </c>
      <c r="G1" s="311" t="s">
        <v>209</v>
      </c>
      <c r="H1" s="311" t="s">
        <v>135</v>
      </c>
      <c r="I1" s="315" t="s">
        <v>102</v>
      </c>
      <c r="J1" s="312" t="s">
        <v>241</v>
      </c>
      <c r="K1" s="313" t="s">
        <v>242</v>
      </c>
      <c r="L1" s="313" t="s">
        <v>243</v>
      </c>
    </row>
    <row r="2" spans="1:12" ht="24" x14ac:dyDescent="0.25">
      <c r="A2" s="292" t="s">
        <v>0</v>
      </c>
      <c r="B2" s="298">
        <v>3295.3</v>
      </c>
      <c r="C2" s="298">
        <v>305.09999999999997</v>
      </c>
      <c r="D2" s="299">
        <v>9.258641094892725E-2</v>
      </c>
      <c r="E2" s="305">
        <v>0.83260000000000001</v>
      </c>
      <c r="F2" s="300">
        <v>10927.224</v>
      </c>
      <c r="G2" s="301">
        <v>14222.524000000001</v>
      </c>
      <c r="H2" s="301">
        <v>812.69999999999993</v>
      </c>
      <c r="I2" s="302">
        <v>7.4373875743738743E-2</v>
      </c>
      <c r="J2" s="303">
        <v>3.2401782098013365E-2</v>
      </c>
      <c r="K2" s="304">
        <f>AVERAGE(D2,I2)</f>
        <v>8.3480143346332997E-2</v>
      </c>
      <c r="L2" s="306">
        <f>(((1+D2)/(1+E2))-1)*(B2/SUM(B2,F2))+(((1+I2)/(1+J2))-1)*(F2/SUM(B2,F2))</f>
        <v>-6.2324762612110639E-2</v>
      </c>
    </row>
    <row r="3" spans="1:12" ht="24" x14ac:dyDescent="0.25">
      <c r="A3" s="293" t="s">
        <v>6</v>
      </c>
      <c r="B3" s="298">
        <v>3219.9</v>
      </c>
      <c r="C3" s="298">
        <v>261.70000000000005</v>
      </c>
      <c r="D3" s="299">
        <v>8.1275816019131045E-2</v>
      </c>
      <c r="E3" s="305">
        <v>0.96479999999999999</v>
      </c>
      <c r="F3" s="300">
        <v>11075.455</v>
      </c>
      <c r="G3" s="301">
        <v>14295.355</v>
      </c>
      <c r="H3" s="301">
        <v>821.4</v>
      </c>
      <c r="I3" s="302">
        <v>7.4163995971271601E-2</v>
      </c>
      <c r="J3" s="303">
        <v>3.3293221018853014E-2</v>
      </c>
      <c r="K3" s="304">
        <f t="shared" ref="K3:K66" si="0">AVERAGE(D3,I3)</f>
        <v>7.7719905995201316E-2</v>
      </c>
      <c r="L3" s="306">
        <f t="shared" ref="L3:L66" si="1">(((1+D3)/(1+E3))-1)*(B3/SUM(B3,F3))+(((1+I3)/(1+J3))-1)*(F3/SUM(B3,F3))</f>
        <v>-7.0640820664943815E-2</v>
      </c>
    </row>
    <row r="4" spans="1:12" ht="24" x14ac:dyDescent="0.25">
      <c r="A4" s="293" t="s">
        <v>1</v>
      </c>
      <c r="B4" s="298">
        <v>3164.8</v>
      </c>
      <c r="C4" s="298">
        <v>220.7</v>
      </c>
      <c r="D4" s="299">
        <v>6.9735844287158733E-2</v>
      </c>
      <c r="E4" s="305">
        <v>1.0474000000000001</v>
      </c>
      <c r="F4" s="300">
        <v>8577.9439999999995</v>
      </c>
      <c r="G4" s="301">
        <v>11742.743999999999</v>
      </c>
      <c r="H4" s="301">
        <v>903.5</v>
      </c>
      <c r="I4" s="302">
        <v>0.1053282698045126</v>
      </c>
      <c r="J4" s="303">
        <v>3.5080725533187307E-2</v>
      </c>
      <c r="K4" s="304">
        <f t="shared" si="0"/>
        <v>8.7532057045835665E-2</v>
      </c>
      <c r="L4" s="306">
        <f t="shared" si="1"/>
        <v>-7.9119699445704197E-2</v>
      </c>
    </row>
    <row r="5" spans="1:12" ht="24" x14ac:dyDescent="0.25">
      <c r="A5" s="293" t="s">
        <v>2</v>
      </c>
      <c r="B5" s="298">
        <v>2864.7</v>
      </c>
      <c r="C5" s="298">
        <v>197.9</v>
      </c>
      <c r="D5" s="299">
        <v>6.9082277376339582E-2</v>
      </c>
      <c r="E5" s="305">
        <v>0.9758</v>
      </c>
      <c r="F5" s="300">
        <v>8609.5300000000007</v>
      </c>
      <c r="G5" s="301">
        <v>11474.23</v>
      </c>
      <c r="H5" s="301">
        <v>817.2</v>
      </c>
      <c r="I5" s="302">
        <v>9.4918073344305673E-2</v>
      </c>
      <c r="J5" s="303">
        <v>3.427099841521386E-2</v>
      </c>
      <c r="K5" s="304">
        <f t="shared" si="0"/>
        <v>8.2000175360322627E-2</v>
      </c>
      <c r="L5" s="306">
        <f t="shared" si="1"/>
        <v>-7.0575797582519056E-2</v>
      </c>
    </row>
    <row r="6" spans="1:12" ht="24" x14ac:dyDescent="0.25">
      <c r="A6" s="293" t="s">
        <v>3</v>
      </c>
      <c r="B6" s="298">
        <v>2738.2</v>
      </c>
      <c r="C6" s="298">
        <v>206.4</v>
      </c>
      <c r="D6" s="299">
        <v>7.5377985537944642E-2</v>
      </c>
      <c r="E6" s="305">
        <v>0.67636165060069309</v>
      </c>
      <c r="F6" s="300">
        <v>8734.1170000000002</v>
      </c>
      <c r="G6" s="301">
        <v>11472.316999999999</v>
      </c>
      <c r="H6" s="301">
        <v>735</v>
      </c>
      <c r="I6" s="302">
        <v>8.415275407920457E-2</v>
      </c>
      <c r="J6" s="303">
        <v>3.3934876422128113E-2</v>
      </c>
      <c r="K6" s="304">
        <f t="shared" si="0"/>
        <v>7.9765369808574599E-2</v>
      </c>
      <c r="L6" s="306">
        <f t="shared" si="1"/>
        <v>-4.8590410512653288E-2</v>
      </c>
    </row>
    <row r="7" spans="1:12" ht="24" x14ac:dyDescent="0.25">
      <c r="A7" s="293" t="s">
        <v>4</v>
      </c>
      <c r="B7" s="298">
        <v>2970.6</v>
      </c>
      <c r="C7" s="298">
        <v>165.8</v>
      </c>
      <c r="D7" s="299">
        <v>5.5813640342018453E-2</v>
      </c>
      <c r="E7" s="305">
        <v>0.39559087898571277</v>
      </c>
      <c r="F7" s="300">
        <v>8819.16</v>
      </c>
      <c r="G7" s="301">
        <v>11789.76</v>
      </c>
      <c r="H7" s="301">
        <v>828.9</v>
      </c>
      <c r="I7" s="302">
        <v>9.3988543126556273E-2</v>
      </c>
      <c r="J7" s="303">
        <v>3.3773291925465632E-2</v>
      </c>
      <c r="K7" s="304">
        <f t="shared" si="0"/>
        <v>7.4901091734287356E-2</v>
      </c>
      <c r="L7" s="306">
        <f t="shared" si="1"/>
        <v>-1.777286908843307E-2</v>
      </c>
    </row>
    <row r="8" spans="1:12" ht="24" x14ac:dyDescent="0.25">
      <c r="A8" s="293" t="s">
        <v>5</v>
      </c>
      <c r="B8" s="298">
        <v>2923.3</v>
      </c>
      <c r="C8" s="298">
        <v>176.6</v>
      </c>
      <c r="D8" s="299">
        <v>6.0411179146854579E-2</v>
      </c>
      <c r="E8" s="305">
        <v>0.28925271435208288</v>
      </c>
      <c r="F8" s="300">
        <v>9158.3259999999991</v>
      </c>
      <c r="G8" s="301">
        <v>12081.626</v>
      </c>
      <c r="H8" s="301">
        <v>657.8</v>
      </c>
      <c r="I8" s="302">
        <v>7.1825353235951642E-2</v>
      </c>
      <c r="J8" s="303">
        <v>2.6959368380512272E-2</v>
      </c>
      <c r="K8" s="304">
        <f t="shared" si="0"/>
        <v>6.6118266191403111E-2</v>
      </c>
      <c r="L8" s="306">
        <f t="shared" si="1"/>
        <v>-9.8309035703615238E-3</v>
      </c>
    </row>
    <row r="9" spans="1:12" ht="24" x14ac:dyDescent="0.25">
      <c r="A9" s="293" t="s">
        <v>7</v>
      </c>
      <c r="B9" s="298">
        <v>2925.7</v>
      </c>
      <c r="C9" s="298">
        <v>209.89999999999998</v>
      </c>
      <c r="D9" s="299">
        <v>7.1743514372628769E-2</v>
      </c>
      <c r="E9" s="305">
        <v>0.2409935910194656</v>
      </c>
      <c r="F9" s="300">
        <v>9391.2990000000009</v>
      </c>
      <c r="G9" s="301">
        <v>12316.999</v>
      </c>
      <c r="H9" s="301">
        <v>727.60000000000014</v>
      </c>
      <c r="I9" s="302">
        <v>7.7475970044186659E-2</v>
      </c>
      <c r="J9" s="303">
        <v>1.8578816318712832E-2</v>
      </c>
      <c r="K9" s="304">
        <f t="shared" si="0"/>
        <v>7.4609742208407714E-2</v>
      </c>
      <c r="L9" s="306">
        <f t="shared" si="1"/>
        <v>1.1692537974085052E-2</v>
      </c>
    </row>
    <row r="10" spans="1:12" ht="24" x14ac:dyDescent="0.25">
      <c r="A10" s="293" t="s">
        <v>8</v>
      </c>
      <c r="B10" s="298">
        <v>2773.5</v>
      </c>
      <c r="C10" s="298">
        <v>212.3</v>
      </c>
      <c r="D10" s="299">
        <v>7.6545880656210569E-2</v>
      </c>
      <c r="E10" s="305">
        <v>0.1471000637348634</v>
      </c>
      <c r="F10" s="300">
        <v>9419.8549999999996</v>
      </c>
      <c r="G10" s="301">
        <v>12193.355</v>
      </c>
      <c r="H10" s="301">
        <v>718.2</v>
      </c>
      <c r="I10" s="302">
        <v>7.6243211811646797E-2</v>
      </c>
      <c r="J10" s="303">
        <v>1.2521343198634405E-2</v>
      </c>
      <c r="K10" s="304">
        <f t="shared" si="0"/>
        <v>7.639454623392869E-2</v>
      </c>
      <c r="L10" s="306">
        <f t="shared" si="1"/>
        <v>3.4628640642003813E-2</v>
      </c>
    </row>
    <row r="11" spans="1:12" ht="24" x14ac:dyDescent="0.25">
      <c r="A11" s="293" t="s">
        <v>9</v>
      </c>
      <c r="B11" s="298">
        <v>2870.7</v>
      </c>
      <c r="C11" s="298">
        <v>213</v>
      </c>
      <c r="D11" s="299">
        <v>7.4197930818267324E-2</v>
      </c>
      <c r="E11" s="305">
        <v>0.13198644067796605</v>
      </c>
      <c r="F11" s="300">
        <v>9533.6679999999997</v>
      </c>
      <c r="G11" s="301">
        <v>12404.367999999999</v>
      </c>
      <c r="H11" s="301">
        <v>640.20000000000005</v>
      </c>
      <c r="I11" s="302">
        <v>6.7151488807875429E-2</v>
      </c>
      <c r="J11" s="303">
        <v>1.2955313556139769E-2</v>
      </c>
      <c r="K11" s="304">
        <f t="shared" si="0"/>
        <v>7.0674709813071376E-2</v>
      </c>
      <c r="L11" s="306">
        <f t="shared" si="1"/>
        <v>2.9306558168754489E-2</v>
      </c>
    </row>
    <row r="12" spans="1:12" ht="24" x14ac:dyDescent="0.25">
      <c r="A12" s="293" t="s">
        <v>10</v>
      </c>
      <c r="B12" s="298">
        <v>2850.9</v>
      </c>
      <c r="C12" s="298">
        <v>210.2</v>
      </c>
      <c r="D12" s="299">
        <v>7.3731102458872627E-2</v>
      </c>
      <c r="E12" s="305">
        <v>0.12351606553001204</v>
      </c>
      <c r="F12" s="300">
        <v>9506.3169999999991</v>
      </c>
      <c r="G12" s="301">
        <v>12357.216999999999</v>
      </c>
      <c r="H12" s="301">
        <v>624.5</v>
      </c>
      <c r="I12" s="302">
        <v>6.5693159611656129E-2</v>
      </c>
      <c r="J12" s="303">
        <v>1.593849615600984E-2</v>
      </c>
      <c r="K12" s="304">
        <f t="shared" si="0"/>
        <v>6.9712131035264385E-2</v>
      </c>
      <c r="L12" s="306">
        <f t="shared" si="1"/>
        <v>2.7452367078031968E-2</v>
      </c>
    </row>
    <row r="13" spans="1:12" ht="24" x14ac:dyDescent="0.25">
      <c r="A13" s="293" t="s">
        <v>11</v>
      </c>
      <c r="B13" s="298">
        <v>2771.1</v>
      </c>
      <c r="C13" s="298">
        <v>201.5</v>
      </c>
      <c r="D13" s="299">
        <v>7.2714806394572548E-2</v>
      </c>
      <c r="E13" s="305">
        <v>9.9169206094627205E-2</v>
      </c>
      <c r="F13" s="300">
        <v>9657.0329999999994</v>
      </c>
      <c r="G13" s="301">
        <v>12428.133</v>
      </c>
      <c r="H13" s="301">
        <v>621.10000000000014</v>
      </c>
      <c r="I13" s="302">
        <v>6.4315820397424367E-2</v>
      </c>
      <c r="J13" s="303">
        <v>2.2000752162467219E-2</v>
      </c>
      <c r="K13" s="304">
        <f t="shared" si="0"/>
        <v>6.8515313395998451E-2</v>
      </c>
      <c r="L13" s="306">
        <f t="shared" si="1"/>
        <v>2.6805907914167086E-2</v>
      </c>
    </row>
    <row r="14" spans="1:12" ht="24" x14ac:dyDescent="0.25">
      <c r="A14" s="293" t="s">
        <v>12</v>
      </c>
      <c r="B14" s="298">
        <v>2825.9</v>
      </c>
      <c r="C14" s="298">
        <v>175.39999999999998</v>
      </c>
      <c r="D14" s="299">
        <v>6.2068721469266418E-2</v>
      </c>
      <c r="E14" s="305">
        <v>9.6621846871874473E-2</v>
      </c>
      <c r="F14" s="300">
        <v>9571.6550000000007</v>
      </c>
      <c r="G14" s="301">
        <v>12397.555</v>
      </c>
      <c r="H14" s="301">
        <v>622.6</v>
      </c>
      <c r="I14" s="302">
        <v>6.5046222413992147E-2</v>
      </c>
      <c r="J14" s="303">
        <v>2.8667790893760481E-2</v>
      </c>
      <c r="K14" s="304">
        <f t="shared" si="0"/>
        <v>6.3557471941629279E-2</v>
      </c>
      <c r="L14" s="306">
        <f t="shared" si="1"/>
        <v>2.0121498542695723E-2</v>
      </c>
    </row>
    <row r="15" spans="1:12" ht="24" x14ac:dyDescent="0.25">
      <c r="A15" s="293" t="s">
        <v>13</v>
      </c>
      <c r="B15" s="298">
        <v>2900.6</v>
      </c>
      <c r="C15" s="298">
        <v>196.5</v>
      </c>
      <c r="D15" s="299">
        <v>6.7744604564572847E-2</v>
      </c>
      <c r="E15" s="305">
        <v>8.1503641416319494E-2</v>
      </c>
      <c r="F15" s="300">
        <v>9731.7209999999995</v>
      </c>
      <c r="G15" s="301">
        <v>12632.321</v>
      </c>
      <c r="H15" s="301">
        <v>612.79999999999995</v>
      </c>
      <c r="I15" s="302">
        <v>6.2969335023065287E-2</v>
      </c>
      <c r="J15" s="303">
        <v>2.1316033364225939E-2</v>
      </c>
      <c r="K15" s="304">
        <f t="shared" si="0"/>
        <v>6.5356969793819067E-2</v>
      </c>
      <c r="L15" s="306">
        <f t="shared" si="1"/>
        <v>2.8498024249976554E-2</v>
      </c>
    </row>
    <row r="16" spans="1:12" ht="24" x14ac:dyDescent="0.25">
      <c r="A16" s="293" t="s">
        <v>14</v>
      </c>
      <c r="B16" s="298">
        <v>2976.8</v>
      </c>
      <c r="C16" s="298">
        <v>192.70000000000002</v>
      </c>
      <c r="D16" s="299">
        <v>6.4733942488578347E-2</v>
      </c>
      <c r="E16" s="305">
        <v>7.5297939886377563E-2</v>
      </c>
      <c r="F16" s="300">
        <v>9866.6</v>
      </c>
      <c r="G16" s="301">
        <v>12843.400000000001</v>
      </c>
      <c r="H16" s="301">
        <v>612.40000000000009</v>
      </c>
      <c r="I16" s="302">
        <v>6.2067986945857752E-2</v>
      </c>
      <c r="J16" s="303">
        <v>2.1963824289405798E-2</v>
      </c>
      <c r="K16" s="304">
        <f t="shared" si="0"/>
        <v>6.3400964717218053E-2</v>
      </c>
      <c r="L16" s="306">
        <f t="shared" si="1"/>
        <v>2.7869783605373111E-2</v>
      </c>
    </row>
    <row r="17" spans="1:12" ht="24" x14ac:dyDescent="0.25">
      <c r="A17" s="293" t="s">
        <v>15</v>
      </c>
      <c r="B17" s="298">
        <v>3016.2</v>
      </c>
      <c r="C17" s="298">
        <v>212.495</v>
      </c>
      <c r="D17" s="299">
        <v>7.0451230024534184E-2</v>
      </c>
      <c r="E17" s="305">
        <v>6.4683977984392849E-2</v>
      </c>
      <c r="F17" s="300">
        <v>10017.779</v>
      </c>
      <c r="G17" s="301">
        <v>13033.978999999999</v>
      </c>
      <c r="H17" s="301">
        <v>614.3599999999999</v>
      </c>
      <c r="I17" s="302">
        <v>6.1326966785751599E-2</v>
      </c>
      <c r="J17" s="303">
        <v>1.895124195032194E-2</v>
      </c>
      <c r="K17" s="304">
        <f t="shared" si="0"/>
        <v>6.5889098405142899E-2</v>
      </c>
      <c r="L17" s="306">
        <f t="shared" si="1"/>
        <v>3.3217302663381187E-2</v>
      </c>
    </row>
    <row r="18" spans="1:12" ht="24" x14ac:dyDescent="0.25">
      <c r="A18" s="293" t="s">
        <v>16</v>
      </c>
      <c r="B18" s="298">
        <v>3159.7</v>
      </c>
      <c r="C18" s="298">
        <v>242.13500000000002</v>
      </c>
      <c r="D18" s="299">
        <v>7.6632275216001536E-2</v>
      </c>
      <c r="E18" s="305">
        <v>3.9134057297911973E-2</v>
      </c>
      <c r="F18" s="300">
        <v>9885.5920000000006</v>
      </c>
      <c r="G18" s="301">
        <v>13045.292000000001</v>
      </c>
      <c r="H18" s="301">
        <v>617.96899999999994</v>
      </c>
      <c r="I18" s="302">
        <v>6.2512088299820578E-2</v>
      </c>
      <c r="J18" s="303">
        <v>1.7850637522768498E-2</v>
      </c>
      <c r="K18" s="304">
        <f t="shared" si="0"/>
        <v>6.957218175791105E-2</v>
      </c>
      <c r="L18" s="306">
        <f t="shared" si="1"/>
        <v>4.1990855196245847E-2</v>
      </c>
    </row>
    <row r="19" spans="1:12" ht="24" x14ac:dyDescent="0.25">
      <c r="A19" s="293" t="s">
        <v>17</v>
      </c>
      <c r="B19" s="298">
        <v>3270.9</v>
      </c>
      <c r="C19" s="298">
        <v>249.33499999999998</v>
      </c>
      <c r="D19" s="299">
        <v>7.6228255220275751E-2</v>
      </c>
      <c r="E19" s="305">
        <v>3.1656943179206642E-2</v>
      </c>
      <c r="F19" s="300">
        <v>9731.0959999999995</v>
      </c>
      <c r="G19" s="301">
        <v>13001.995999999999</v>
      </c>
      <c r="H19" s="301">
        <v>606.0150081841432</v>
      </c>
      <c r="I19" s="302">
        <v>6.2276130888457293E-2</v>
      </c>
      <c r="J19" s="303">
        <v>2.8675136116152355E-2</v>
      </c>
      <c r="K19" s="304">
        <f t="shared" si="0"/>
        <v>6.9252193054366529E-2</v>
      </c>
      <c r="L19" s="306">
        <f t="shared" si="1"/>
        <v>3.5315696497970665E-2</v>
      </c>
    </row>
    <row r="20" spans="1:12" ht="24" x14ac:dyDescent="0.25">
      <c r="A20" s="293" t="s">
        <v>18</v>
      </c>
      <c r="B20" s="298">
        <v>3491.2</v>
      </c>
      <c r="C20" s="298">
        <v>232.934</v>
      </c>
      <c r="D20" s="299">
        <v>6.6720325389550875E-2</v>
      </c>
      <c r="E20" s="305">
        <v>2.4623710737003313E-2</v>
      </c>
      <c r="F20" s="300">
        <v>9679.3770000000004</v>
      </c>
      <c r="G20" s="301">
        <v>13170.577000000001</v>
      </c>
      <c r="H20" s="301">
        <v>612.77117069585506</v>
      </c>
      <c r="I20" s="302">
        <v>6.3306881289555625E-2</v>
      </c>
      <c r="J20" s="303">
        <v>2.7271085425320418E-2</v>
      </c>
      <c r="K20" s="304">
        <f t="shared" si="0"/>
        <v>6.501360333955325E-2</v>
      </c>
      <c r="L20" s="306">
        <f t="shared" si="1"/>
        <v>3.6671141412776498E-2</v>
      </c>
    </row>
    <row r="21" spans="1:12" ht="24" x14ac:dyDescent="0.25">
      <c r="A21" s="293" t="s">
        <v>19</v>
      </c>
      <c r="B21" s="298">
        <v>3489.1</v>
      </c>
      <c r="C21" s="298">
        <v>215.399</v>
      </c>
      <c r="D21" s="299">
        <v>6.1734831331862083E-2</v>
      </c>
      <c r="E21" s="305">
        <v>2.0362684893355576E-2</v>
      </c>
      <c r="F21" s="300">
        <v>9981.2579999999998</v>
      </c>
      <c r="G21" s="301">
        <v>13470.358</v>
      </c>
      <c r="H21" s="301">
        <v>598.12235159099578</v>
      </c>
      <c r="I21" s="302">
        <v>5.9924545742730602E-2</v>
      </c>
      <c r="J21" s="303">
        <v>3.3224990971469914E-2</v>
      </c>
      <c r="K21" s="304">
        <f t="shared" si="0"/>
        <v>6.0829688537296339E-2</v>
      </c>
      <c r="L21" s="306">
        <f t="shared" si="1"/>
        <v>2.9650021189237138E-2</v>
      </c>
    </row>
    <row r="22" spans="1:12" ht="24" x14ac:dyDescent="0.25">
      <c r="A22" s="293" t="s">
        <v>20</v>
      </c>
      <c r="B22" s="298">
        <v>3810.9</v>
      </c>
      <c r="C22" s="298">
        <v>212.88900000000001</v>
      </c>
      <c r="D22" s="299">
        <v>5.5863181925529401E-2</v>
      </c>
      <c r="E22" s="305">
        <v>1.351171215123137E-2</v>
      </c>
      <c r="F22" s="300">
        <v>9530.8989999999994</v>
      </c>
      <c r="G22" s="301">
        <v>13341.798999999999</v>
      </c>
      <c r="H22" s="301">
        <v>603.55152959099576</v>
      </c>
      <c r="I22" s="302">
        <v>6.3325771219587559E-2</v>
      </c>
      <c r="J22" s="303">
        <v>3.0422333571939797E-2</v>
      </c>
      <c r="K22" s="304">
        <f t="shared" si="0"/>
        <v>5.959447657255848E-2</v>
      </c>
      <c r="L22" s="306">
        <f t="shared" si="1"/>
        <v>3.474689780127671E-2</v>
      </c>
    </row>
    <row r="23" spans="1:12" ht="24" x14ac:dyDescent="0.25">
      <c r="A23" s="293" t="s">
        <v>21</v>
      </c>
      <c r="B23" s="298">
        <v>3879.1</v>
      </c>
      <c r="C23" s="298">
        <v>195.69200000000001</v>
      </c>
      <c r="D23" s="299">
        <v>5.0447784279858736E-2</v>
      </c>
      <c r="E23" s="305">
        <v>1.6731707578921284E-2</v>
      </c>
      <c r="F23" s="300">
        <v>9280.6090000000004</v>
      </c>
      <c r="G23" s="301">
        <v>13159.709000000001</v>
      </c>
      <c r="H23" s="301">
        <v>609.9915295909957</v>
      </c>
      <c r="I23" s="302">
        <v>6.5727532491778901E-2</v>
      </c>
      <c r="J23" s="303">
        <v>2.9463655610444839E-2</v>
      </c>
      <c r="K23" s="304">
        <f t="shared" si="0"/>
        <v>5.8087658385818822E-2</v>
      </c>
      <c r="L23" s="306">
        <f t="shared" si="1"/>
        <v>3.4617359807168062E-2</v>
      </c>
    </row>
    <row r="24" spans="1:12" ht="24" x14ac:dyDescent="0.25">
      <c r="A24" s="293" t="s">
        <v>22</v>
      </c>
      <c r="B24" s="298">
        <v>3926.1</v>
      </c>
      <c r="C24" s="298">
        <v>217.661</v>
      </c>
      <c r="D24" s="299">
        <v>5.5439494663915845E-2</v>
      </c>
      <c r="E24" s="305">
        <v>2.1978703368836561E-2</v>
      </c>
      <c r="F24" s="300">
        <v>9171.4709999999995</v>
      </c>
      <c r="G24" s="301">
        <v>13097.571</v>
      </c>
      <c r="H24" s="301">
        <v>612.38660288491053</v>
      </c>
      <c r="I24" s="302">
        <v>6.6770816032118568E-2</v>
      </c>
      <c r="J24" s="303">
        <v>3.8326300984528938E-2</v>
      </c>
      <c r="K24" s="304">
        <f t="shared" si="0"/>
        <v>6.1105155348017207E-2</v>
      </c>
      <c r="L24" s="306">
        <f t="shared" si="1"/>
        <v>2.8997267635812517E-2</v>
      </c>
    </row>
    <row r="25" spans="1:12" ht="24" x14ac:dyDescent="0.25">
      <c r="A25" s="293" t="s">
        <v>23</v>
      </c>
      <c r="B25" s="298">
        <v>3686.3</v>
      </c>
      <c r="C25" s="298">
        <v>224.501</v>
      </c>
      <c r="D25" s="299">
        <v>6.0901445894257111E-2</v>
      </c>
      <c r="E25" s="305">
        <v>2.8653035120068671E-2</v>
      </c>
      <c r="F25" s="300">
        <v>9664.4120000000003</v>
      </c>
      <c r="G25" s="301">
        <v>13350.712</v>
      </c>
      <c r="H25" s="301">
        <v>630.74342198976979</v>
      </c>
      <c r="I25" s="302">
        <v>6.5264541907957746E-2</v>
      </c>
      <c r="J25" s="303">
        <v>3.7399510660607982E-2</v>
      </c>
      <c r="K25" s="304">
        <f t="shared" si="0"/>
        <v>6.3082993901107429E-2</v>
      </c>
      <c r="L25" s="306">
        <f t="shared" si="1"/>
        <v>2.8100117927981297E-2</v>
      </c>
    </row>
    <row r="26" spans="1:12" ht="24" x14ac:dyDescent="0.25">
      <c r="A26" s="293" t="s">
        <v>24</v>
      </c>
      <c r="B26" s="298">
        <v>3828.7256689500023</v>
      </c>
      <c r="C26" s="298">
        <v>220.42499999999998</v>
      </c>
      <c r="D26" s="299">
        <v>5.7571374671105596E-2</v>
      </c>
      <c r="E26" s="305">
        <v>3.8081385739314522E-2</v>
      </c>
      <c r="F26" s="300">
        <v>10023.896000000001</v>
      </c>
      <c r="G26" s="301">
        <v>13852.621668950003</v>
      </c>
      <c r="H26" s="301">
        <v>635.83524398976988</v>
      </c>
      <c r="I26" s="302">
        <v>6.3431947417428303E-2</v>
      </c>
      <c r="J26" s="303">
        <v>3.647099687391453E-2</v>
      </c>
      <c r="K26" s="304">
        <f t="shared" si="0"/>
        <v>6.0501661044266949E-2</v>
      </c>
      <c r="L26" s="306">
        <f t="shared" si="1"/>
        <v>2.4011955089321232E-2</v>
      </c>
    </row>
    <row r="27" spans="1:12" ht="24" x14ac:dyDescent="0.25">
      <c r="A27" s="293" t="s">
        <v>25</v>
      </c>
      <c r="B27" s="298">
        <v>3629.4986689500015</v>
      </c>
      <c r="C27" s="298">
        <v>223.77600000000001</v>
      </c>
      <c r="D27" s="299">
        <v>6.1654795995485914E-2</v>
      </c>
      <c r="E27" s="305">
        <v>3.1115319315659029E-2</v>
      </c>
      <c r="F27" s="300">
        <v>9171.0409999999993</v>
      </c>
      <c r="G27" s="301">
        <v>12800.539668950001</v>
      </c>
      <c r="H27" s="301">
        <v>691.21123989769819</v>
      </c>
      <c r="I27" s="302">
        <v>7.5368896496886037E-2</v>
      </c>
      <c r="J27" s="303">
        <v>4.0102827763496052E-2</v>
      </c>
      <c r="K27" s="304">
        <f t="shared" si="0"/>
        <v>6.8511846246185976E-2</v>
      </c>
      <c r="L27" s="306">
        <f t="shared" si="1"/>
        <v>3.2690378332309714E-2</v>
      </c>
    </row>
    <row r="28" spans="1:12" ht="24" x14ac:dyDescent="0.25">
      <c r="A28" s="293" t="s">
        <v>26</v>
      </c>
      <c r="B28" s="298">
        <v>3284.628668950003</v>
      </c>
      <c r="C28" s="298">
        <v>235.74199999999999</v>
      </c>
      <c r="D28" s="299">
        <v>7.1771278814100961E-2</v>
      </c>
      <c r="E28" s="305">
        <v>3.1903441526667686E-2</v>
      </c>
      <c r="F28" s="300">
        <v>9029.8580000000002</v>
      </c>
      <c r="G28" s="301">
        <v>12314.486668950003</v>
      </c>
      <c r="H28" s="301">
        <v>711.11516660378356</v>
      </c>
      <c r="I28" s="302">
        <v>7.875153370117044E-2</v>
      </c>
      <c r="J28" s="303">
        <v>3.3355909244835669E-2</v>
      </c>
      <c r="K28" s="304">
        <f t="shared" si="0"/>
        <v>7.5261406257635693E-2</v>
      </c>
      <c r="L28" s="306">
        <f t="shared" si="1"/>
        <v>4.2517947311447056E-2</v>
      </c>
    </row>
    <row r="29" spans="1:12" ht="24" x14ac:dyDescent="0.25">
      <c r="A29" s="293" t="s">
        <v>27</v>
      </c>
      <c r="B29" s="298">
        <v>3277.6356689500026</v>
      </c>
      <c r="C29" s="298">
        <v>227.53300000000002</v>
      </c>
      <c r="D29" s="299">
        <v>6.9419857171889601E-2</v>
      </c>
      <c r="E29" s="305">
        <v>3.0975452196382536E-2</v>
      </c>
      <c r="F29" s="300">
        <v>9008.3780000000006</v>
      </c>
      <c r="G29" s="301">
        <v>12286.013668950003</v>
      </c>
      <c r="H29" s="301">
        <v>714.2314230989241</v>
      </c>
      <c r="I29" s="302">
        <v>7.928524126084896E-2</v>
      </c>
      <c r="J29" s="303">
        <v>1.9373315363881538E-2</v>
      </c>
      <c r="K29" s="304">
        <f t="shared" si="0"/>
        <v>7.4352549216369274E-2</v>
      </c>
      <c r="L29" s="306">
        <f t="shared" si="1"/>
        <v>5.3041853666764421E-2</v>
      </c>
    </row>
    <row r="30" spans="1:12" ht="24" x14ac:dyDescent="0.25">
      <c r="A30" s="293" t="s">
        <v>28</v>
      </c>
      <c r="B30" s="298">
        <v>3213.7889815600024</v>
      </c>
      <c r="C30" s="298">
        <v>214.238</v>
      </c>
      <c r="D30" s="299">
        <v>6.666212412490348E-2</v>
      </c>
      <c r="E30" s="305">
        <v>2.0571282998439688E-2</v>
      </c>
      <c r="F30" s="300">
        <v>9175.4030000000002</v>
      </c>
      <c r="G30" s="301">
        <v>12389.191981560003</v>
      </c>
      <c r="H30" s="301">
        <v>738.20142309892401</v>
      </c>
      <c r="I30" s="302">
        <v>8.0454386918909604E-2</v>
      </c>
      <c r="J30" s="303">
        <v>2.4240951742627415E-2</v>
      </c>
      <c r="K30" s="304">
        <f t="shared" si="0"/>
        <v>7.3558255521906535E-2</v>
      </c>
      <c r="L30" s="306">
        <f t="shared" si="1"/>
        <v>5.2361310169095322E-2</v>
      </c>
    </row>
    <row r="31" spans="1:12" ht="24" x14ac:dyDescent="0.25">
      <c r="A31" s="293" t="s">
        <v>29</v>
      </c>
      <c r="B31" s="298">
        <v>2880.0029815600028</v>
      </c>
      <c r="C31" s="298">
        <v>217.85899999999998</v>
      </c>
      <c r="D31" s="299">
        <v>7.5645407798151973E-2</v>
      </c>
      <c r="E31" s="305">
        <v>1.7130553180709995E-2</v>
      </c>
      <c r="F31" s="300">
        <v>9201.39</v>
      </c>
      <c r="G31" s="301">
        <v>12081.392981560002</v>
      </c>
      <c r="H31" s="301">
        <v>698.59441900685249</v>
      </c>
      <c r="I31" s="302">
        <v>7.5922705048569031E-2</v>
      </c>
      <c r="J31" s="303">
        <v>2.6506838029329405E-2</v>
      </c>
      <c r="K31" s="304">
        <f t="shared" si="0"/>
        <v>7.5784056423360502E-2</v>
      </c>
      <c r="L31" s="306">
        <f t="shared" si="1"/>
        <v>5.03781358441324E-2</v>
      </c>
    </row>
    <row r="32" spans="1:12" ht="24" x14ac:dyDescent="0.25">
      <c r="A32" s="293" t="s">
        <v>30</v>
      </c>
      <c r="B32" s="298">
        <v>3066.2329815600033</v>
      </c>
      <c r="C32" s="298">
        <v>186.93700000000001</v>
      </c>
      <c r="D32" s="299">
        <v>6.0966339193472614E-2</v>
      </c>
      <c r="E32" s="305">
        <v>2.5353270318970722E-2</v>
      </c>
      <c r="F32" s="300">
        <v>9179.1080000000002</v>
      </c>
      <c r="G32" s="301">
        <v>12245.340981560003</v>
      </c>
      <c r="H32" s="301">
        <v>696.09725649514064</v>
      </c>
      <c r="I32" s="302">
        <v>7.5834956566056377E-2</v>
      </c>
      <c r="J32" s="303">
        <v>2.3604784532197387E-2</v>
      </c>
      <c r="K32" s="304">
        <f t="shared" si="0"/>
        <v>6.8400647879764492E-2</v>
      </c>
      <c r="L32" s="306">
        <f t="shared" si="1"/>
        <v>4.6945895591188842E-2</v>
      </c>
    </row>
    <row r="33" spans="1:12" ht="24" x14ac:dyDescent="0.25">
      <c r="A33" s="293" t="s">
        <v>31</v>
      </c>
      <c r="B33" s="298">
        <v>3240.081981560003</v>
      </c>
      <c r="C33" s="298">
        <v>181.58500000000001</v>
      </c>
      <c r="D33" s="299">
        <v>5.6043335024681146E-2</v>
      </c>
      <c r="E33" s="305">
        <v>2.7945737648422675E-2</v>
      </c>
      <c r="F33" s="300">
        <v>9374.1640000000007</v>
      </c>
      <c r="G33" s="301">
        <v>12614.245981560003</v>
      </c>
      <c r="H33" s="301">
        <v>732.90900000000011</v>
      </c>
      <c r="I33" s="302">
        <v>7.8183931921822575E-2</v>
      </c>
      <c r="J33" s="303">
        <v>3.9743843992728234E-2</v>
      </c>
      <c r="K33" s="304">
        <f t="shared" si="0"/>
        <v>6.711363347325186E-2</v>
      </c>
      <c r="L33" s="306">
        <f t="shared" si="1"/>
        <v>3.4495381115341998E-2</v>
      </c>
    </row>
    <row r="34" spans="1:12" ht="24" x14ac:dyDescent="0.25">
      <c r="A34" s="293" t="s">
        <v>32</v>
      </c>
      <c r="B34" s="298">
        <v>3088.6409815600036</v>
      </c>
      <c r="C34" s="298">
        <v>164.482</v>
      </c>
      <c r="D34" s="299">
        <v>5.3253842379868903E-2</v>
      </c>
      <c r="E34" s="305">
        <v>5.2825361165715012E-2</v>
      </c>
      <c r="F34" s="300">
        <v>9107.384</v>
      </c>
      <c r="G34" s="301">
        <v>12196.024981560004</v>
      </c>
      <c r="H34" s="301">
        <v>712.82900000000006</v>
      </c>
      <c r="I34" s="302">
        <v>7.8269347158305844E-2</v>
      </c>
      <c r="J34" s="303">
        <v>4.0954280208157945E-2</v>
      </c>
      <c r="K34" s="304">
        <f t="shared" si="0"/>
        <v>6.576159476908737E-2</v>
      </c>
      <c r="L34" s="306">
        <f t="shared" si="1"/>
        <v>2.6871807154451168E-2</v>
      </c>
    </row>
    <row r="35" spans="1:12" ht="24" x14ac:dyDescent="0.25">
      <c r="A35" s="293" t="s">
        <v>33</v>
      </c>
      <c r="B35" s="298">
        <v>3038.307981560004</v>
      </c>
      <c r="C35" s="298">
        <v>172.22900000000001</v>
      </c>
      <c r="D35" s="299">
        <v>5.6685826797443321E-2</v>
      </c>
      <c r="E35" s="305">
        <v>9.0529854928086628E-2</v>
      </c>
      <c r="F35" s="300">
        <v>8847.8250000000007</v>
      </c>
      <c r="G35" s="301">
        <v>11886.132981560004</v>
      </c>
      <c r="H35" s="301">
        <v>724.93000000000006</v>
      </c>
      <c r="I35" s="302">
        <v>8.1933130458615541E-2</v>
      </c>
      <c r="J35" s="303">
        <v>4.3793851236061165E-2</v>
      </c>
      <c r="K35" s="304">
        <f t="shared" si="0"/>
        <v>6.9309478628029428E-2</v>
      </c>
      <c r="L35" s="306">
        <f t="shared" si="1"/>
        <v>1.9266079023356197E-2</v>
      </c>
    </row>
    <row r="36" spans="1:12" ht="24" x14ac:dyDescent="0.25">
      <c r="A36" s="293" t="s">
        <v>34</v>
      </c>
      <c r="B36" s="298">
        <v>2967.3319815600039</v>
      </c>
      <c r="C36" s="298">
        <v>149.08200000000002</v>
      </c>
      <c r="D36" s="299">
        <v>5.0241092310009658E-2</v>
      </c>
      <c r="E36" s="305">
        <v>9.9522121165407595E-2</v>
      </c>
      <c r="F36" s="300">
        <v>8786.4439999999995</v>
      </c>
      <c r="G36" s="301">
        <v>11753.775981560004</v>
      </c>
      <c r="H36" s="301">
        <v>708.52300000000002</v>
      </c>
      <c r="I36" s="302">
        <v>8.0638196749447222E-2</v>
      </c>
      <c r="J36" s="303">
        <v>5.3028144439144054E-2</v>
      </c>
      <c r="K36" s="304">
        <f t="shared" si="0"/>
        <v>6.5439644529728447E-2</v>
      </c>
      <c r="L36" s="306">
        <f t="shared" si="1"/>
        <v>8.2850524847725149E-3</v>
      </c>
    </row>
    <row r="37" spans="1:12" ht="24" x14ac:dyDescent="0.25">
      <c r="A37" s="293" t="s">
        <v>35</v>
      </c>
      <c r="B37" s="298">
        <v>3645.4169815600039</v>
      </c>
      <c r="C37" s="298">
        <v>144.74299999999999</v>
      </c>
      <c r="D37" s="299">
        <v>3.9705471481635363E-2</v>
      </c>
      <c r="E37" s="305">
        <v>9.2712809728444645E-2</v>
      </c>
      <c r="F37" s="300">
        <v>8788.4249999999993</v>
      </c>
      <c r="G37" s="301">
        <v>12433.841981560003</v>
      </c>
      <c r="H37" s="301">
        <v>652.18300000000011</v>
      </c>
      <c r="I37" s="302">
        <v>7.4209315093432579E-2</v>
      </c>
      <c r="J37" s="303">
        <v>1.6016873586384373E-2</v>
      </c>
      <c r="K37" s="304">
        <f t="shared" si="0"/>
        <v>5.6957393287533971E-2</v>
      </c>
      <c r="L37" s="306">
        <f t="shared" si="1"/>
        <v>2.6260511291715759E-2</v>
      </c>
    </row>
    <row r="38" spans="1:12" ht="24" x14ac:dyDescent="0.25">
      <c r="A38" s="293" t="s">
        <v>36</v>
      </c>
      <c r="B38" s="298">
        <v>4133.7089815600048</v>
      </c>
      <c r="C38" s="298">
        <v>131.89500000000001</v>
      </c>
      <c r="D38" s="299">
        <v>3.1907180836475979E-2</v>
      </c>
      <c r="E38" s="305">
        <v>7.8833501274375939E-2</v>
      </c>
      <c r="F38" s="300">
        <v>8685.3109999999997</v>
      </c>
      <c r="G38" s="301">
        <v>12819.019981560004</v>
      </c>
      <c r="H38" s="301">
        <v>512</v>
      </c>
      <c r="I38" s="302">
        <v>5.8950105528748485E-2</v>
      </c>
      <c r="J38" s="303">
        <v>-4.0232531459161169E-4</v>
      </c>
      <c r="K38" s="304">
        <f t="shared" si="0"/>
        <v>4.5428643182612236E-2</v>
      </c>
      <c r="L38" s="306">
        <f t="shared" si="1"/>
        <v>2.6202994705836979E-2</v>
      </c>
    </row>
    <row r="39" spans="1:12" ht="24" x14ac:dyDescent="0.25">
      <c r="A39" s="293" t="s">
        <v>37</v>
      </c>
      <c r="B39" s="298">
        <v>3019.2109815600047</v>
      </c>
      <c r="C39" s="298">
        <v>148.62599999999998</v>
      </c>
      <c r="D39" s="299">
        <v>4.9226768486118178E-2</v>
      </c>
      <c r="E39" s="305">
        <v>5.4838709677419439E-2</v>
      </c>
      <c r="F39" s="300">
        <v>5801.8710000000001</v>
      </c>
      <c r="G39" s="301">
        <v>8821.0819815600044</v>
      </c>
      <c r="H39" s="301">
        <v>458.37200000000001</v>
      </c>
      <c r="I39" s="302">
        <v>7.9004169517040285E-2</v>
      </c>
      <c r="J39" s="303">
        <v>-1.1504451996862786E-2</v>
      </c>
      <c r="K39" s="304">
        <f t="shared" si="0"/>
        <v>6.4115469001579231E-2</v>
      </c>
      <c r="L39" s="306">
        <f t="shared" si="1"/>
        <v>5.8401916539113301E-2</v>
      </c>
    </row>
    <row r="40" spans="1:12" ht="24" x14ac:dyDescent="0.25">
      <c r="A40" s="293" t="s">
        <v>38</v>
      </c>
      <c r="B40" s="298">
        <v>2968.7509815600047</v>
      </c>
      <c r="C40" s="298">
        <v>161.54300000000001</v>
      </c>
      <c r="D40" s="299">
        <v>5.4414466219431169E-2</v>
      </c>
      <c r="E40" s="305">
        <v>3.4882090682219813E-2</v>
      </c>
      <c r="F40" s="300">
        <v>6305.7929999999997</v>
      </c>
      <c r="G40" s="301">
        <v>9274.5439815600039</v>
      </c>
      <c r="H40" s="301">
        <v>325.76499999999999</v>
      </c>
      <c r="I40" s="302">
        <v>5.1661226430997659E-2</v>
      </c>
      <c r="J40" s="303">
        <v>-1.6233603361339388E-2</v>
      </c>
      <c r="K40" s="304">
        <f t="shared" si="0"/>
        <v>5.3037846325214411E-2</v>
      </c>
      <c r="L40" s="306">
        <f t="shared" si="1"/>
        <v>5.2965167081325648E-2</v>
      </c>
    </row>
    <row r="41" spans="1:12" ht="24" x14ac:dyDescent="0.25">
      <c r="A41" s="293" t="s">
        <v>39</v>
      </c>
      <c r="B41" s="298">
        <v>2842.2429815600049</v>
      </c>
      <c r="C41" s="298">
        <v>180.39299999999997</v>
      </c>
      <c r="D41" s="299">
        <v>6.346853564961176E-2</v>
      </c>
      <c r="E41" s="305">
        <v>3.943881962457807E-2</v>
      </c>
      <c r="F41" s="300">
        <v>6213.7920000000004</v>
      </c>
      <c r="G41" s="301">
        <v>9056.0349815600057</v>
      </c>
      <c r="H41" s="301">
        <v>293.70299999999997</v>
      </c>
      <c r="I41" s="302">
        <v>4.7266306950731529E-2</v>
      </c>
      <c r="J41" s="303">
        <v>1.4439337573878275E-2</v>
      </c>
      <c r="K41" s="304">
        <f t="shared" si="0"/>
        <v>5.5367421300171644E-2</v>
      </c>
      <c r="L41" s="306">
        <f t="shared" si="1"/>
        <v>2.9459188005440711E-2</v>
      </c>
    </row>
    <row r="42" spans="1:12" ht="24" x14ac:dyDescent="0.25">
      <c r="A42" s="293" t="s">
        <v>40</v>
      </c>
      <c r="B42" s="298">
        <v>2838.2499815600049</v>
      </c>
      <c r="C42" s="298">
        <v>194.994</v>
      </c>
      <c r="D42" s="299">
        <v>6.8702193699240063E-2</v>
      </c>
      <c r="E42" s="305">
        <v>4.0272512499313295E-2</v>
      </c>
      <c r="F42" s="300">
        <v>6767.7209999999995</v>
      </c>
      <c r="G42" s="301">
        <v>9605.9709815600036</v>
      </c>
      <c r="H42" s="301">
        <v>294.01300000000003</v>
      </c>
      <c r="I42" s="302">
        <v>4.3443428001834004E-2</v>
      </c>
      <c r="J42" s="303">
        <v>2.3605248056348227E-2</v>
      </c>
      <c r="K42" s="304">
        <f t="shared" si="0"/>
        <v>5.607281085053703E-2</v>
      </c>
      <c r="L42" s="306">
        <f t="shared" si="1"/>
        <v>2.1729179077333811E-2</v>
      </c>
    </row>
    <row r="43" spans="1:12" ht="24" x14ac:dyDescent="0.25">
      <c r="A43" s="293" t="s">
        <v>41</v>
      </c>
      <c r="B43" s="298">
        <v>3467.0244815600054</v>
      </c>
      <c r="C43" s="298">
        <v>189.42500000000001</v>
      </c>
      <c r="D43" s="299">
        <v>5.463618760337316E-2</v>
      </c>
      <c r="E43" s="305">
        <v>3.2475440448161086E-2</v>
      </c>
      <c r="F43" s="300">
        <v>6981.4139999999998</v>
      </c>
      <c r="G43" s="301">
        <v>10448.438481560006</v>
      </c>
      <c r="H43" s="301">
        <v>283.04899999999998</v>
      </c>
      <c r="I43" s="302">
        <v>4.0543219468147852E-2</v>
      </c>
      <c r="J43" s="303">
        <v>1.7677651608848377E-2</v>
      </c>
      <c r="K43" s="304">
        <f t="shared" si="0"/>
        <v>4.7589703535760502E-2</v>
      </c>
      <c r="L43" s="306">
        <f t="shared" si="1"/>
        <v>2.2135005890794958E-2</v>
      </c>
    </row>
    <row r="44" spans="1:12" ht="24" x14ac:dyDescent="0.25">
      <c r="A44" s="293" t="s">
        <v>42</v>
      </c>
      <c r="B44" s="298">
        <v>4833.2151715600048</v>
      </c>
      <c r="C44" s="298">
        <v>188.501</v>
      </c>
      <c r="D44" s="299">
        <v>3.9001160368193996E-2</v>
      </c>
      <c r="E44" s="305">
        <v>3.5550093277110006E-2</v>
      </c>
      <c r="F44" s="300">
        <v>7832.3490000000002</v>
      </c>
      <c r="G44" s="301">
        <v>12665.564171560005</v>
      </c>
      <c r="H44" s="301">
        <v>297.90700000000004</v>
      </c>
      <c r="I44" s="302">
        <v>3.8035460370828729E-2</v>
      </c>
      <c r="J44" s="303">
        <v>1.1756088968004619E-2</v>
      </c>
      <c r="K44" s="304">
        <f t="shared" si="0"/>
        <v>3.8518310369511366E-2</v>
      </c>
      <c r="L44" s="306">
        <f t="shared" si="1"/>
        <v>1.7333986437340798E-2</v>
      </c>
    </row>
    <row r="45" spans="1:12" ht="24" x14ac:dyDescent="0.25">
      <c r="A45" s="293" t="s">
        <v>43</v>
      </c>
      <c r="B45" s="298">
        <v>4664.9857465600053</v>
      </c>
      <c r="C45" s="298">
        <v>224.20400000000001</v>
      </c>
      <c r="D45" s="299">
        <v>4.8061025730963845E-2</v>
      </c>
      <c r="E45" s="305">
        <v>3.390436698119581E-2</v>
      </c>
      <c r="F45" s="300">
        <v>7811.759</v>
      </c>
      <c r="G45" s="301">
        <v>12476.744746560005</v>
      </c>
      <c r="H45" s="301">
        <v>305.58100000000002</v>
      </c>
      <c r="I45" s="302">
        <v>3.9118078271487895E-2</v>
      </c>
      <c r="J45" s="303">
        <v>1.2702480970181229E-2</v>
      </c>
      <c r="K45" s="304">
        <f t="shared" si="0"/>
        <v>4.358955200122587E-2</v>
      </c>
      <c r="L45" s="306">
        <f t="shared" si="1"/>
        <v>2.1451023344100428E-2</v>
      </c>
    </row>
    <row r="46" spans="1:12" ht="24" x14ac:dyDescent="0.25">
      <c r="A46" s="293" t="s">
        <v>44</v>
      </c>
      <c r="B46" s="298">
        <v>4552.6920805600057</v>
      </c>
      <c r="C46" s="298">
        <v>224.56233618000002</v>
      </c>
      <c r="D46" s="299">
        <v>4.9325175567853832E-2</v>
      </c>
      <c r="E46" s="305">
        <v>3.3828034224147041E-2</v>
      </c>
      <c r="F46" s="300">
        <v>8035.0379999999996</v>
      </c>
      <c r="G46" s="301">
        <v>12587.730080560006</v>
      </c>
      <c r="H46" s="301">
        <v>324.23200000000003</v>
      </c>
      <c r="I46" s="302">
        <v>4.035226715791513E-2</v>
      </c>
      <c r="J46" s="303">
        <v>2.1411269946348899E-2</v>
      </c>
      <c r="K46" s="304">
        <f t="shared" si="0"/>
        <v>4.4838721362884484E-2</v>
      </c>
      <c r="L46" s="306">
        <f t="shared" si="1"/>
        <v>1.7258587368034109E-2</v>
      </c>
    </row>
    <row r="47" spans="1:12" ht="24" x14ac:dyDescent="0.25">
      <c r="A47" s="293" t="s">
        <v>45</v>
      </c>
      <c r="B47" s="298">
        <v>4371.2698595800057</v>
      </c>
      <c r="C47" s="298">
        <v>284.45991575000005</v>
      </c>
      <c r="D47" s="299">
        <v>6.5074892396904352E-2</v>
      </c>
      <c r="E47" s="305">
        <v>4.1309533170821089E-2</v>
      </c>
      <c r="F47" s="300">
        <v>7918.5709999999999</v>
      </c>
      <c r="G47" s="301">
        <v>12289.840859580007</v>
      </c>
      <c r="H47" s="301">
        <v>332.91700000000003</v>
      </c>
      <c r="I47" s="302">
        <v>4.204256045693093E-2</v>
      </c>
      <c r="J47" s="303">
        <v>3.4303953821130273E-2</v>
      </c>
      <c r="K47" s="304">
        <f t="shared" si="0"/>
        <v>5.3558726426917641E-2</v>
      </c>
      <c r="L47" s="306">
        <f t="shared" si="1"/>
        <v>1.2938323212968849E-2</v>
      </c>
    </row>
    <row r="48" spans="1:12" ht="24" x14ac:dyDescent="0.25">
      <c r="A48" s="293" t="s">
        <v>46</v>
      </c>
      <c r="B48" s="298">
        <v>4482.466631830006</v>
      </c>
      <c r="C48" s="298">
        <v>284.50999443000001</v>
      </c>
      <c r="D48" s="299">
        <v>6.3471748436384076E-2</v>
      </c>
      <c r="E48" s="305">
        <v>4.8911491675823537E-2</v>
      </c>
      <c r="F48" s="300">
        <v>7855.4219999999996</v>
      </c>
      <c r="G48" s="301">
        <v>12337.888631830006</v>
      </c>
      <c r="H48" s="301">
        <v>344.59499999999997</v>
      </c>
      <c r="I48" s="302">
        <v>4.3867153158671804E-2</v>
      </c>
      <c r="J48" s="303">
        <v>3.7561739991019749E-2</v>
      </c>
      <c r="K48" s="304">
        <f t="shared" si="0"/>
        <v>5.366945079752794E-2</v>
      </c>
      <c r="L48" s="306">
        <f t="shared" si="1"/>
        <v>8.9124657561781145E-3</v>
      </c>
    </row>
    <row r="49" spans="1:12" ht="24" x14ac:dyDescent="0.25">
      <c r="A49" s="293" t="s">
        <v>47</v>
      </c>
      <c r="B49" s="298">
        <v>4506.4472978300064</v>
      </c>
      <c r="C49" s="298">
        <v>315.73431378999999</v>
      </c>
      <c r="D49" s="299">
        <v>7.0062799567640749E-2</v>
      </c>
      <c r="E49" s="305">
        <v>5.480203615863144E-2</v>
      </c>
      <c r="F49" s="300">
        <v>9247.1409999999996</v>
      </c>
      <c r="G49" s="301">
        <v>13753.588297830007</v>
      </c>
      <c r="H49" s="301">
        <v>357.26099999999997</v>
      </c>
      <c r="I49" s="302">
        <v>3.8634752081751537E-2</v>
      </c>
      <c r="J49" s="303">
        <v>3.2937765439863043E-2</v>
      </c>
      <c r="K49" s="304">
        <f t="shared" si="0"/>
        <v>5.4348775824696147E-2</v>
      </c>
      <c r="L49" s="306">
        <f t="shared" si="1"/>
        <v>8.4486882251065525E-3</v>
      </c>
    </row>
    <row r="50" spans="1:12" ht="24" x14ac:dyDescent="0.25">
      <c r="A50" s="293" t="s">
        <v>128</v>
      </c>
      <c r="B50" s="298">
        <v>4822.5425514900062</v>
      </c>
      <c r="C50" s="298">
        <v>318.26437483000001</v>
      </c>
      <c r="D50" s="299">
        <v>6.5995140827045023E-2</v>
      </c>
      <c r="E50" s="305">
        <v>5.642545148024225E-2</v>
      </c>
      <c r="F50" s="300">
        <v>9387.8870000000006</v>
      </c>
      <c r="G50" s="301">
        <v>14210.429551490008</v>
      </c>
      <c r="H50" s="301">
        <v>402.26123000000001</v>
      </c>
      <c r="I50" s="302">
        <v>4.2848963776406769E-2</v>
      </c>
      <c r="J50" s="303">
        <v>2.8151922032965349E-2</v>
      </c>
      <c r="K50" s="304">
        <f t="shared" si="0"/>
        <v>5.4422052301725893E-2</v>
      </c>
      <c r="L50" s="306">
        <f t="shared" si="1"/>
        <v>1.2517676259897012E-2</v>
      </c>
    </row>
    <row r="51" spans="1:12" ht="24" x14ac:dyDescent="0.25">
      <c r="A51" s="293" t="s">
        <v>49</v>
      </c>
      <c r="B51" s="298">
        <v>6115.6269731200055</v>
      </c>
      <c r="C51" s="298">
        <v>314.43293124000002</v>
      </c>
      <c r="D51" s="299">
        <v>5.1414668131661075E-2</v>
      </c>
      <c r="E51" s="305">
        <v>5.0947718176554968E-2</v>
      </c>
      <c r="F51" s="300">
        <v>9174.3960000000006</v>
      </c>
      <c r="G51" s="301">
        <v>15290.022973120005</v>
      </c>
      <c r="H51" s="301">
        <v>430.30212899999998</v>
      </c>
      <c r="I51" s="302">
        <v>4.6902502246469406E-2</v>
      </c>
      <c r="J51" s="303">
        <v>1.889765176058833E-2</v>
      </c>
      <c r="K51" s="304">
        <f t="shared" si="0"/>
        <v>4.915858518906524E-2</v>
      </c>
      <c r="L51" s="306">
        <f t="shared" si="1"/>
        <v>1.6669665376600314E-2</v>
      </c>
    </row>
    <row r="52" spans="1:12" ht="24" x14ac:dyDescent="0.25">
      <c r="A52" s="293" t="s">
        <v>179</v>
      </c>
      <c r="B52" s="298">
        <v>6531.0316961200051</v>
      </c>
      <c r="C52" s="298">
        <v>328.4179005785341</v>
      </c>
      <c r="D52" s="299">
        <v>5.0285761248661923E-2</v>
      </c>
      <c r="E52" s="305">
        <v>5.0678056495851109E-2</v>
      </c>
      <c r="F52" s="300">
        <v>9792.1560000000009</v>
      </c>
      <c r="G52" s="301">
        <v>16323.187696120007</v>
      </c>
      <c r="H52" s="301">
        <v>454.58311600000002</v>
      </c>
      <c r="I52" s="302">
        <v>4.6423189744934618E-2</v>
      </c>
      <c r="J52" s="303">
        <v>1.6977843722584263E-2</v>
      </c>
      <c r="K52" s="304">
        <f t="shared" si="0"/>
        <v>4.835447549679827E-2</v>
      </c>
      <c r="L52" s="306">
        <f t="shared" si="1"/>
        <v>1.7219758629208558E-2</v>
      </c>
    </row>
    <row r="53" spans="1:12" ht="24" x14ac:dyDescent="0.25">
      <c r="A53" s="293" t="s">
        <v>180</v>
      </c>
      <c r="B53" s="298">
        <v>7780.502439120005</v>
      </c>
      <c r="C53" s="298">
        <v>363.01178968450131</v>
      </c>
      <c r="D53" s="299">
        <v>4.6656599946462957E-2</v>
      </c>
      <c r="E53" s="305">
        <v>4.6255901298221103E-2</v>
      </c>
      <c r="F53" s="300">
        <v>9948.634</v>
      </c>
      <c r="G53" s="301">
        <v>17729.136439120004</v>
      </c>
      <c r="H53" s="301">
        <v>464.877745</v>
      </c>
      <c r="I53" s="302">
        <v>4.6727796499499326E-2</v>
      </c>
      <c r="J53" s="303">
        <v>1.8893653908242936E-2</v>
      </c>
      <c r="K53" s="304">
        <f t="shared" si="0"/>
        <v>4.6692198222981138E-2</v>
      </c>
      <c r="L53" s="306">
        <f t="shared" si="1"/>
        <v>1.5497463402013264E-2</v>
      </c>
    </row>
    <row r="54" spans="1:12" ht="24" x14ac:dyDescent="0.25">
      <c r="A54" s="293" t="s">
        <v>181</v>
      </c>
      <c r="B54" s="298">
        <v>7866.2972901200064</v>
      </c>
      <c r="C54" s="298">
        <v>379.59456795657849</v>
      </c>
      <c r="D54" s="299">
        <v>4.8255812608728327E-2</v>
      </c>
      <c r="E54" s="305">
        <v>3.5312141270229969E-2</v>
      </c>
      <c r="F54" s="300">
        <v>11403.307000000001</v>
      </c>
      <c r="G54" s="301">
        <v>19269.604290120005</v>
      </c>
      <c r="H54" s="301">
        <v>492.16781599999996</v>
      </c>
      <c r="I54" s="302">
        <v>4.3160095225007966E-2</v>
      </c>
      <c r="J54" s="303">
        <v>1.6818288188147346E-2</v>
      </c>
      <c r="K54" s="304">
        <f t="shared" si="0"/>
        <v>4.5707953916868146E-2</v>
      </c>
      <c r="L54" s="306">
        <f t="shared" si="1"/>
        <v>2.0434321679999708E-2</v>
      </c>
    </row>
    <row r="55" spans="1:12" ht="24" x14ac:dyDescent="0.25">
      <c r="A55" s="293" t="s">
        <v>182</v>
      </c>
      <c r="B55" s="298">
        <v>8418.6961721200059</v>
      </c>
      <c r="C55" s="298">
        <v>457.90342450430683</v>
      </c>
      <c r="D55" s="299">
        <v>5.439125194002542E-2</v>
      </c>
      <c r="E55" s="305">
        <v>2.9029841549076174E-2</v>
      </c>
      <c r="F55" s="300">
        <v>11621.047</v>
      </c>
      <c r="G55" s="301">
        <v>20039.743172120005</v>
      </c>
      <c r="H55" s="301">
        <v>549.36397799999997</v>
      </c>
      <c r="I55" s="302">
        <v>4.7273191305396145E-2</v>
      </c>
      <c r="J55" s="303">
        <v>1.3928497863291422E-2</v>
      </c>
      <c r="K55" s="304">
        <f t="shared" si="0"/>
        <v>5.0832221622710783E-2</v>
      </c>
      <c r="L55" s="306">
        <f t="shared" si="1"/>
        <v>2.9424718382446317E-2</v>
      </c>
    </row>
    <row r="56" spans="1:12" ht="24" x14ac:dyDescent="0.25">
      <c r="A56" s="293" t="s">
        <v>183</v>
      </c>
      <c r="B56" s="298">
        <v>8744.9517211200055</v>
      </c>
      <c r="C56" s="298">
        <v>472.08790604060857</v>
      </c>
      <c r="D56" s="299">
        <v>5.3984049437398852E-2</v>
      </c>
      <c r="E56" s="305">
        <v>2.1206933052587473E-2</v>
      </c>
      <c r="F56" s="300">
        <v>11626.6</v>
      </c>
      <c r="G56" s="301">
        <v>20371.551721120006</v>
      </c>
      <c r="H56" s="301">
        <v>602.261303</v>
      </c>
      <c r="I56" s="302">
        <v>5.1800294411091803E-2</v>
      </c>
      <c r="J56" s="303">
        <v>1.5241210612398692E-2</v>
      </c>
      <c r="K56" s="304">
        <f t="shared" si="0"/>
        <v>5.2892171924245328E-2</v>
      </c>
      <c r="L56" s="306">
        <f t="shared" si="1"/>
        <v>3.4330158623450249E-2</v>
      </c>
    </row>
    <row r="57" spans="1:12" ht="24" x14ac:dyDescent="0.25">
      <c r="A57" s="293" t="s">
        <v>184</v>
      </c>
      <c r="B57" s="298">
        <v>9926.5837172900046</v>
      </c>
      <c r="C57" s="298">
        <v>516.30126501343477</v>
      </c>
      <c r="D57" s="299">
        <v>5.2011979117664357E-2</v>
      </c>
      <c r="E57" s="305">
        <v>2.3483972674674503E-2</v>
      </c>
      <c r="F57" s="300">
        <v>11936.852000000001</v>
      </c>
      <c r="G57" s="301">
        <v>21863.435717290005</v>
      </c>
      <c r="H57" s="301">
        <v>652.30861800000002</v>
      </c>
      <c r="I57" s="302">
        <v>5.4646620231196631E-2</v>
      </c>
      <c r="J57" s="303">
        <v>1.6132789496756672E-2</v>
      </c>
      <c r="K57" s="304">
        <f t="shared" si="0"/>
        <v>5.3329299674430494E-2</v>
      </c>
      <c r="L57" s="306">
        <f t="shared" si="1"/>
        <v>3.3348956831052476E-2</v>
      </c>
    </row>
    <row r="58" spans="1:12" ht="24" x14ac:dyDescent="0.25">
      <c r="A58" s="293" t="s">
        <v>185</v>
      </c>
      <c r="B58" s="298">
        <v>10869.743882150004</v>
      </c>
      <c r="C58" s="298">
        <v>543.00317854572472</v>
      </c>
      <c r="D58" s="299">
        <v>4.9955471300241923E-2</v>
      </c>
      <c r="E58" s="305">
        <v>3.4747148912376957E-2</v>
      </c>
      <c r="F58" s="300">
        <v>11916.379000000001</v>
      </c>
      <c r="G58" s="301">
        <v>22786.122882150004</v>
      </c>
      <c r="H58" s="301">
        <v>705.43666437000002</v>
      </c>
      <c r="I58" s="302">
        <v>5.9198911378196342E-2</v>
      </c>
      <c r="J58" s="303">
        <v>1.4068948058093778E-2</v>
      </c>
      <c r="K58" s="304">
        <f t="shared" si="0"/>
        <v>5.4577191339219136E-2</v>
      </c>
      <c r="L58" s="306">
        <f t="shared" si="1"/>
        <v>3.0285276131699464E-2</v>
      </c>
    </row>
    <row r="59" spans="1:12" ht="24" x14ac:dyDescent="0.25">
      <c r="A59" s="293" t="s">
        <v>186</v>
      </c>
      <c r="B59" s="298">
        <v>11295.032799150003</v>
      </c>
      <c r="C59" s="298">
        <v>590.18221634196993</v>
      </c>
      <c r="D59" s="299">
        <v>5.2251483181738397E-2</v>
      </c>
      <c r="E59" s="305">
        <v>3.4962531466413038E-2</v>
      </c>
      <c r="F59" s="300">
        <v>14169.716</v>
      </c>
      <c r="G59" s="301">
        <v>25464.748799150002</v>
      </c>
      <c r="H59" s="301">
        <v>652.27889410506009</v>
      </c>
      <c r="I59" s="302">
        <v>4.6033307520423138E-2</v>
      </c>
      <c r="J59" s="303">
        <v>2.0486995336061131E-2</v>
      </c>
      <c r="K59" s="304">
        <f t="shared" si="0"/>
        <v>4.9142395351080767E-2</v>
      </c>
      <c r="L59" s="306">
        <f t="shared" si="1"/>
        <v>2.1339278445013498E-2</v>
      </c>
    </row>
    <row r="60" spans="1:12" ht="24" x14ac:dyDescent="0.25">
      <c r="A60" s="293" t="s">
        <v>187</v>
      </c>
      <c r="B60" s="298">
        <v>11279.644629150001</v>
      </c>
      <c r="C60" s="298">
        <v>631.67917489032118</v>
      </c>
      <c r="D60" s="299">
        <v>5.6001691157704724E-2</v>
      </c>
      <c r="E60" s="305">
        <v>4.6470819057281565E-2</v>
      </c>
      <c r="F60" s="300">
        <v>14728.159</v>
      </c>
      <c r="G60" s="301">
        <v>26007.803629150003</v>
      </c>
      <c r="H60" s="301">
        <v>669.54846547000011</v>
      </c>
      <c r="I60" s="302">
        <v>4.5460431644579621E-2</v>
      </c>
      <c r="J60" s="303">
        <v>1.8220181916683176E-2</v>
      </c>
      <c r="K60" s="304">
        <f t="shared" si="0"/>
        <v>5.0731061401142169E-2</v>
      </c>
      <c r="L60" s="306">
        <f t="shared" si="1"/>
        <v>1.9100055124773523E-2</v>
      </c>
    </row>
    <row r="61" spans="1:12" ht="24" x14ac:dyDescent="0.25">
      <c r="A61" s="293" t="s">
        <v>188</v>
      </c>
      <c r="B61" s="298">
        <v>12558.316293150001</v>
      </c>
      <c r="C61" s="298">
        <v>681.96836793152784</v>
      </c>
      <c r="D61" s="299">
        <v>5.4304124216357809E-2</v>
      </c>
      <c r="E61" s="305">
        <v>3.9438514001034264E-2</v>
      </c>
      <c r="F61" s="300">
        <v>15574.382</v>
      </c>
      <c r="G61" s="301">
        <v>28132.698293150002</v>
      </c>
      <c r="H61" s="301">
        <v>714.35530552900002</v>
      </c>
      <c r="I61" s="302">
        <v>4.5867329151744192E-2</v>
      </c>
      <c r="J61" s="303">
        <v>8.7015459447608023E-3</v>
      </c>
      <c r="K61" s="304">
        <f t="shared" si="0"/>
        <v>5.0085726684051E-2</v>
      </c>
      <c r="L61" s="306">
        <f t="shared" si="1"/>
        <v>2.6781808334139699E-2</v>
      </c>
    </row>
    <row r="62" spans="1:12" ht="24" x14ac:dyDescent="0.25">
      <c r="A62" s="293" t="s">
        <v>144</v>
      </c>
      <c r="B62" s="298">
        <v>12630.708787150001</v>
      </c>
      <c r="C62" s="298">
        <v>721.40229327863005</v>
      </c>
      <c r="D62" s="299">
        <v>5.7114949401141854E-2</v>
      </c>
      <c r="E62" s="305">
        <v>3.78E-2</v>
      </c>
      <c r="F62" s="300">
        <v>17158.599999999999</v>
      </c>
      <c r="G62" s="301">
        <v>29789.308787149999</v>
      </c>
      <c r="H62" s="301">
        <v>765.18414189000009</v>
      </c>
      <c r="I62" s="302">
        <v>4.4594788729266963E-2</v>
      </c>
      <c r="J62" s="303">
        <v>-7.0921985815597388E-4</v>
      </c>
      <c r="K62" s="304">
        <f t="shared" si="0"/>
        <v>5.0854869065204408E-2</v>
      </c>
      <c r="L62" s="306">
        <f t="shared" si="1"/>
        <v>3.4004841017617249E-2</v>
      </c>
    </row>
    <row r="63" spans="1:12" ht="24" x14ac:dyDescent="0.25">
      <c r="A63" s="293" t="s">
        <v>147</v>
      </c>
      <c r="B63" s="298">
        <v>12303.7</v>
      </c>
      <c r="C63" s="298">
        <v>747.4670089140136</v>
      </c>
      <c r="D63" s="299">
        <v>6.0751400709868862E-2</v>
      </c>
      <c r="E63" s="305">
        <v>4.58E-2</v>
      </c>
      <c r="F63" s="300">
        <v>18024.900000000001</v>
      </c>
      <c r="G63" s="301">
        <v>30328.600000000002</v>
      </c>
      <c r="H63" s="301">
        <v>858.70503912493996</v>
      </c>
      <c r="I63" s="302">
        <v>4.7639933598796105E-2</v>
      </c>
      <c r="J63" s="303">
        <v>-4.2058040095327431E-4</v>
      </c>
      <c r="K63" s="304">
        <f t="shared" si="0"/>
        <v>5.419566715433248E-2</v>
      </c>
      <c r="L63" s="306">
        <f t="shared" si="1"/>
        <v>3.4375201153537642E-2</v>
      </c>
    </row>
    <row r="64" spans="1:12" ht="24" x14ac:dyDescent="0.25">
      <c r="A64" s="293" t="s">
        <v>148</v>
      </c>
      <c r="B64" s="298">
        <v>12109.481808750004</v>
      </c>
      <c r="C64" s="298">
        <v>778.05856077639783</v>
      </c>
      <c r="D64" s="299">
        <v>6.425201119788565E-2</v>
      </c>
      <c r="E64" s="305">
        <v>4.0933333333333329E-2</v>
      </c>
      <c r="F64" s="300">
        <v>20179.969000000001</v>
      </c>
      <c r="G64" s="301">
        <v>32289.450808750007</v>
      </c>
      <c r="H64" s="301">
        <v>967.02597727</v>
      </c>
      <c r="I64" s="302">
        <v>4.7920092308863307E-2</v>
      </c>
      <c r="J64" s="303">
        <v>9.8011761411354037E-4</v>
      </c>
      <c r="K64" s="304">
        <f t="shared" si="0"/>
        <v>5.6086051753374479E-2</v>
      </c>
      <c r="L64" s="306">
        <f t="shared" si="1"/>
        <v>3.7708684924867633E-2</v>
      </c>
    </row>
    <row r="65" spans="1:12" ht="24" x14ac:dyDescent="0.25">
      <c r="A65" s="293" t="s">
        <v>149</v>
      </c>
      <c r="B65" s="298">
        <v>12546.003827150003</v>
      </c>
      <c r="C65" s="298">
        <v>788.74018113564568</v>
      </c>
      <c r="D65" s="299">
        <v>6.2867841585444409E-2</v>
      </c>
      <c r="E65" s="305">
        <v>3.4200000000000001E-2</v>
      </c>
      <c r="F65" s="300">
        <v>20084.149000000001</v>
      </c>
      <c r="G65" s="301">
        <v>32630.152827150006</v>
      </c>
      <c r="H65" s="301">
        <v>970.6158009799999</v>
      </c>
      <c r="I65" s="302">
        <v>4.8327454699723639E-2</v>
      </c>
      <c r="J65" s="303">
        <v>4.5172219085263254E-3</v>
      </c>
      <c r="K65" s="304">
        <f t="shared" si="0"/>
        <v>5.5597648142584027E-2</v>
      </c>
      <c r="L65" s="306">
        <f t="shared" si="1"/>
        <v>3.7502351658619676E-2</v>
      </c>
    </row>
    <row r="66" spans="1:12" ht="24" x14ac:dyDescent="0.25">
      <c r="A66" s="293" t="s">
        <v>150</v>
      </c>
      <c r="B66" s="298">
        <v>13863.400628150004</v>
      </c>
      <c r="C66" s="298">
        <v>803.69758778330356</v>
      </c>
      <c r="D66" s="299">
        <v>5.7972615041606328E-2</v>
      </c>
      <c r="E66" s="305">
        <v>2.6699999999999998E-2</v>
      </c>
      <c r="F66" s="300">
        <v>20942.960999999999</v>
      </c>
      <c r="G66" s="301">
        <v>34806.36162815</v>
      </c>
      <c r="H66" s="301">
        <v>1016.0990360799999</v>
      </c>
      <c r="I66" s="302">
        <v>4.8517448706512895E-2</v>
      </c>
      <c r="J66" s="303">
        <v>1.0787792760823312E-2</v>
      </c>
      <c r="K66" s="304">
        <f t="shared" si="0"/>
        <v>5.3245031874059615E-2</v>
      </c>
      <c r="L66" s="306">
        <f t="shared" si="1"/>
        <v>3.4591597970201983E-2</v>
      </c>
    </row>
    <row r="67" spans="1:12" ht="24" x14ac:dyDescent="0.25">
      <c r="A67" s="293" t="s">
        <v>151</v>
      </c>
      <c r="B67" s="298">
        <v>12906.223762150004</v>
      </c>
      <c r="C67" s="298">
        <v>797.88052186297955</v>
      </c>
      <c r="D67" s="299">
        <v>6.1821376768851508E-2</v>
      </c>
      <c r="E67" s="305">
        <v>1.6666666666666666E-2</v>
      </c>
      <c r="F67" s="300">
        <v>22426.204999999998</v>
      </c>
      <c r="G67" s="301">
        <v>35332.428762150004</v>
      </c>
      <c r="H67" s="301">
        <v>1032.6759974699999</v>
      </c>
      <c r="I67" s="302">
        <v>4.6047737344325532E-2</v>
      </c>
      <c r="J67" s="303">
        <v>1.051893408134652E-2</v>
      </c>
      <c r="K67" s="304">
        <f t="shared" ref="K67:K73" si="2">AVERAGE(D67,I67)</f>
        <v>5.393455705658852E-2</v>
      </c>
      <c r="L67" s="306">
        <f t="shared" ref="L67:L73" si="3">(((1+D67)/(1+E67))-1)*(B67/SUM(B67,F67))+(((1+I67)/(1+J67))-1)*(F67/SUM(B67,F67))</f>
        <v>3.8539816113418293E-2</v>
      </c>
    </row>
    <row r="68" spans="1:12" ht="24" x14ac:dyDescent="0.25">
      <c r="A68" s="293" t="s">
        <v>152</v>
      </c>
      <c r="B68" s="298">
        <v>12403.517750410001</v>
      </c>
      <c r="C68" s="298">
        <v>803.60014275790252</v>
      </c>
      <c r="D68" s="299">
        <v>6.4788083423457779E-2</v>
      </c>
      <c r="E68" s="305">
        <v>1.4333333333333332E-2</v>
      </c>
      <c r="F68" s="300">
        <v>24426.422999999999</v>
      </c>
      <c r="G68" s="301">
        <v>36829.940750410002</v>
      </c>
      <c r="H68" s="301">
        <v>1063.03579898</v>
      </c>
      <c r="I68" s="302">
        <v>4.351991280016726E-2</v>
      </c>
      <c r="J68" s="303">
        <v>1.105049657294721E-2</v>
      </c>
      <c r="K68" s="304">
        <f t="shared" si="2"/>
        <v>5.4153998111812519E-2</v>
      </c>
      <c r="L68" s="306">
        <f t="shared" si="3"/>
        <v>3.8051006515973942E-2</v>
      </c>
    </row>
    <row r="69" spans="1:12" ht="24" x14ac:dyDescent="0.25">
      <c r="A69" s="293" t="s">
        <v>153</v>
      </c>
      <c r="B69" s="298">
        <v>12457.36496563</v>
      </c>
      <c r="C69" s="298">
        <v>790.76105901970777</v>
      </c>
      <c r="D69" s="299">
        <v>6.3477393590171419E-2</v>
      </c>
      <c r="E69" s="305">
        <v>1.1600000000000001E-2</v>
      </c>
      <c r="F69" s="300">
        <v>25523.458999999999</v>
      </c>
      <c r="G69" s="301">
        <v>37980.823965629999</v>
      </c>
      <c r="H69" s="301">
        <v>1147.64073925</v>
      </c>
      <c r="I69" s="302">
        <v>4.4964153927960944E-2</v>
      </c>
      <c r="J69" s="303">
        <v>1.8128161888701477E-2</v>
      </c>
      <c r="K69" s="304">
        <f t="shared" si="2"/>
        <v>5.4220773759066185E-2</v>
      </c>
      <c r="L69" s="306">
        <f t="shared" si="3"/>
        <v>3.453312695613981E-2</v>
      </c>
    </row>
    <row r="70" spans="1:12" ht="24" x14ac:dyDescent="0.25">
      <c r="A70" s="293" t="s">
        <v>170</v>
      </c>
      <c r="B70" s="298">
        <v>13978.98046155</v>
      </c>
      <c r="C70" s="298">
        <v>804.19800733642637</v>
      </c>
      <c r="D70" s="299">
        <v>5.75290887306424E-2</v>
      </c>
      <c r="E70" s="305">
        <v>9.3999999999999986E-3</v>
      </c>
      <c r="F70" s="300">
        <v>26322.799999999999</v>
      </c>
      <c r="G70" s="301">
        <v>40301.780461549999</v>
      </c>
      <c r="H70" s="301">
        <v>1323.2435690799998</v>
      </c>
      <c r="I70" s="302">
        <v>5.0269863733341434E-2</v>
      </c>
      <c r="J70" s="303">
        <v>2.5417778401909841E-2</v>
      </c>
      <c r="K70" s="304">
        <f t="shared" si="2"/>
        <v>5.3899476231991914E-2</v>
      </c>
      <c r="L70" s="306">
        <f t="shared" si="3"/>
        <v>3.2368076906763507E-2</v>
      </c>
    </row>
    <row r="71" spans="1:12" ht="24" x14ac:dyDescent="0.25">
      <c r="A71" s="293" t="s">
        <v>172</v>
      </c>
      <c r="B71" s="298">
        <v>14990.06946155</v>
      </c>
      <c r="C71" s="298">
        <v>813.88848687405266</v>
      </c>
      <c r="D71" s="299">
        <v>5.4295177814999609E-2</v>
      </c>
      <c r="E71" s="305">
        <v>7.8333333333333328E-3</v>
      </c>
      <c r="F71" s="300">
        <v>28388.577000000001</v>
      </c>
      <c r="G71" s="301">
        <v>43378.646461550001</v>
      </c>
      <c r="H71" s="301">
        <v>1403.9217919199998</v>
      </c>
      <c r="I71" s="302">
        <v>4.9453757119280753E-2</v>
      </c>
      <c r="J71" s="303">
        <v>1.901457321304667E-2</v>
      </c>
      <c r="K71" s="304">
        <f t="shared" si="2"/>
        <v>5.1874467467140181E-2</v>
      </c>
      <c r="L71" s="306">
        <f t="shared" si="3"/>
        <v>3.5479524992812816E-2</v>
      </c>
    </row>
    <row r="72" spans="1:12" ht="24" x14ac:dyDescent="0.25">
      <c r="A72" s="293" t="s">
        <v>174</v>
      </c>
      <c r="B72" s="298">
        <v>14961.376</v>
      </c>
      <c r="C72" s="298">
        <v>865.79716006231388</v>
      </c>
      <c r="D72" s="299">
        <v>5.7868819021880999E-2</v>
      </c>
      <c r="E72" s="305">
        <v>1.1666666666666668E-3</v>
      </c>
      <c r="F72" s="300">
        <v>27976.761999999999</v>
      </c>
      <c r="G72" s="301">
        <v>42938.137999999999</v>
      </c>
      <c r="H72" s="301">
        <v>1527.4288537499999</v>
      </c>
      <c r="I72" s="302">
        <v>5.4596341554823249E-2</v>
      </c>
      <c r="J72" s="303">
        <v>1.9784172661870603E-2</v>
      </c>
      <c r="K72" s="304">
        <f t="shared" si="2"/>
        <v>5.6232580288352124E-2</v>
      </c>
      <c r="L72" s="306">
        <f t="shared" si="3"/>
        <v>4.1976454270367433E-2</v>
      </c>
    </row>
    <row r="73" spans="1:12" ht="24" x14ac:dyDescent="0.25">
      <c r="A73" s="293" t="s">
        <v>190</v>
      </c>
      <c r="B73" s="298">
        <v>14785.697104550005</v>
      </c>
      <c r="C73" s="298">
        <v>868.31464138728779</v>
      </c>
      <c r="D73" s="299">
        <v>5.8726662344522208E-2</v>
      </c>
      <c r="E73" s="305">
        <v>-1.7000000000000001E-3</v>
      </c>
      <c r="F73" s="300">
        <v>31577.431</v>
      </c>
      <c r="G73" s="301">
        <v>46363.128104550007</v>
      </c>
      <c r="H73" s="301">
        <v>1612.442646128</v>
      </c>
      <c r="I73" s="302">
        <v>5.1063135760727338E-2</v>
      </c>
      <c r="J73" s="303">
        <v>2.1256038647343045E-2</v>
      </c>
      <c r="K73" s="304">
        <f t="shared" si="2"/>
        <v>5.4894899052624777E-2</v>
      </c>
      <c r="L73" s="306">
        <f t="shared" si="3"/>
        <v>3.9182276219093135E-2</v>
      </c>
    </row>
    <row r="75" spans="1:12" x14ac:dyDescent="0.25">
      <c r="D75" s="279">
        <v>267.60000000000002</v>
      </c>
      <c r="F75" s="294">
        <v>332.40000000000003</v>
      </c>
      <c r="G75" s="294">
        <v>368.9</v>
      </c>
      <c r="H75" s="294">
        <v>360.2</v>
      </c>
      <c r="I75" s="283">
        <v>305.09999999999997</v>
      </c>
    </row>
    <row r="78" spans="1:12" x14ac:dyDescent="0.25">
      <c r="C78" s="282"/>
      <c r="D78" s="280"/>
      <c r="F78" s="295"/>
      <c r="G78" s="295"/>
      <c r="H78" s="295"/>
      <c r="I78" s="284"/>
      <c r="J78" s="289"/>
      <c r="K78" s="297"/>
    </row>
    <row r="79" spans="1:12" x14ac:dyDescent="0.25">
      <c r="C79" s="282"/>
      <c r="D79" s="280"/>
      <c r="F79" s="295"/>
      <c r="G79" s="295"/>
      <c r="H79" s="295"/>
      <c r="I79" s="284"/>
      <c r="J79" s="289"/>
      <c r="K79" s="297"/>
    </row>
    <row r="80" spans="1:12" x14ac:dyDescent="0.25">
      <c r="C80" s="282"/>
      <c r="D80" s="280"/>
      <c r="F80" s="295"/>
      <c r="G80" s="295"/>
      <c r="H80" s="295"/>
      <c r="I80" s="284"/>
      <c r="J80" s="289"/>
      <c r="K80" s="297"/>
    </row>
    <row r="81" spans="3:11" x14ac:dyDescent="0.25">
      <c r="C81" s="282"/>
      <c r="D81" s="280"/>
      <c r="F81" s="295"/>
      <c r="G81" s="295"/>
      <c r="H81" s="295"/>
      <c r="I81" s="284"/>
      <c r="J81" s="289"/>
      <c r="K81" s="297"/>
    </row>
    <row r="82" spans="3:11" x14ac:dyDescent="0.25">
      <c r="C82" s="282"/>
      <c r="D82" s="280"/>
      <c r="F82" s="295"/>
      <c r="G82" s="295"/>
      <c r="H82" s="295"/>
      <c r="I82" s="284"/>
      <c r="J82" s="289"/>
      <c r="K82" s="297"/>
    </row>
    <row r="83" spans="3:11" x14ac:dyDescent="0.25">
      <c r="C83" s="282"/>
      <c r="D83" s="280"/>
      <c r="F83" s="295"/>
      <c r="G83" s="295"/>
      <c r="H83" s="295"/>
      <c r="I83" s="284"/>
      <c r="J83" s="289"/>
      <c r="K83" s="297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93"/>
  <sheetViews>
    <sheetView zoomScaleNormal="100" zoomScalePageLayoutView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5" sqref="H5:H7"/>
    </sheetView>
  </sheetViews>
  <sheetFormatPr baseColWidth="10" defaultColWidth="11.42578125" defaultRowHeight="15" x14ac:dyDescent="0.25"/>
  <cols>
    <col min="1" max="1" width="15.28515625" customWidth="1"/>
    <col min="2" max="4" width="14.140625" style="86" customWidth="1"/>
    <col min="5" max="5" width="16.42578125" style="86" customWidth="1"/>
    <col min="6" max="6" width="15.28515625" style="86" customWidth="1"/>
    <col min="7" max="7" width="16" style="86" customWidth="1"/>
    <col min="8" max="8" width="15.28515625" style="86" customWidth="1"/>
    <col min="9" max="9" width="12.7109375" customWidth="1"/>
    <col min="10" max="10" width="11.28515625" style="232" customWidth="1"/>
    <col min="11" max="11" width="11.28515625" style="185" customWidth="1"/>
    <col min="12" max="12" width="11.28515625" style="27" customWidth="1"/>
    <col min="13" max="15" width="11.28515625" customWidth="1"/>
    <col min="17" max="17" width="10.7109375" customWidth="1"/>
    <col min="18" max="18" width="17.7109375" style="185" customWidth="1"/>
    <col min="19" max="19" width="10.28515625" style="185" customWidth="1"/>
    <col min="20" max="20" width="10.42578125" style="185" customWidth="1"/>
    <col min="21" max="21" width="17.7109375" style="185" customWidth="1"/>
    <col min="27" max="27" width="17.42578125" customWidth="1"/>
    <col min="33" max="33" width="18.42578125" customWidth="1"/>
    <col min="39" max="39" width="14.85546875" customWidth="1"/>
    <col min="45" max="45" width="14.42578125" customWidth="1"/>
    <col min="50" max="50" width="13.7109375" customWidth="1"/>
    <col min="51" max="51" width="16.85546875" customWidth="1"/>
    <col min="57" max="57" width="18.42578125" customWidth="1"/>
    <col min="58" max="58" width="11.42578125" style="126"/>
    <col min="60" max="60" width="8.5703125" style="240" bestFit="1" customWidth="1"/>
    <col min="61" max="63" width="8.7109375" customWidth="1"/>
    <col min="64" max="64" width="27.140625" style="160" customWidth="1"/>
    <col min="65" max="65" width="12" customWidth="1"/>
    <col min="66" max="66" width="15.42578125" customWidth="1"/>
    <col min="67" max="67" width="12.85546875" customWidth="1"/>
    <col min="68" max="68" width="12.85546875" style="228" customWidth="1"/>
  </cols>
  <sheetData>
    <row r="1" spans="1:68" ht="44.25" customHeight="1" x14ac:dyDescent="0.25">
      <c r="A1" s="400" t="s">
        <v>210</v>
      </c>
      <c r="B1" s="400"/>
      <c r="C1" s="400"/>
      <c r="D1" s="400"/>
      <c r="E1" s="400"/>
      <c r="F1" s="400"/>
      <c r="G1" s="400"/>
      <c r="H1" s="400"/>
      <c r="J1" s="415" t="s">
        <v>222</v>
      </c>
      <c r="K1" s="416"/>
      <c r="L1" s="416"/>
      <c r="M1" s="416"/>
      <c r="N1" s="416"/>
      <c r="O1" s="417"/>
      <c r="Q1" s="415" t="s">
        <v>224</v>
      </c>
      <c r="R1" s="416"/>
      <c r="S1" s="416"/>
      <c r="T1" s="416"/>
      <c r="U1" s="417"/>
      <c r="W1" s="404" t="s">
        <v>66</v>
      </c>
      <c r="X1" s="405"/>
      <c r="Y1" s="405"/>
      <c r="Z1" s="405"/>
      <c r="AA1" s="406"/>
      <c r="AC1" s="404" t="s">
        <v>68</v>
      </c>
      <c r="AD1" s="405"/>
      <c r="AE1" s="405"/>
      <c r="AF1" s="405"/>
      <c r="AG1" s="406"/>
      <c r="AI1" s="404" t="s">
        <v>70</v>
      </c>
      <c r="AJ1" s="405"/>
      <c r="AK1" s="405"/>
      <c r="AL1" s="405"/>
      <c r="AM1" s="406"/>
      <c r="AO1" s="407" t="s">
        <v>72</v>
      </c>
      <c r="AP1" s="408"/>
      <c r="AQ1" s="408"/>
      <c r="AR1" s="408"/>
      <c r="AS1" s="409"/>
      <c r="AU1" s="410" t="s">
        <v>74</v>
      </c>
      <c r="AV1" s="411"/>
      <c r="AW1" s="411"/>
      <c r="AX1" s="411"/>
      <c r="AY1" s="412"/>
      <c r="BA1" s="413" t="s">
        <v>175</v>
      </c>
      <c r="BB1" s="414"/>
      <c r="BC1" s="414"/>
      <c r="BD1" s="414"/>
      <c r="BE1" s="414"/>
      <c r="BH1" s="403" t="s">
        <v>228</v>
      </c>
      <c r="BI1" s="403"/>
      <c r="BJ1" s="403"/>
      <c r="BK1" s="403"/>
      <c r="BL1" s="403"/>
      <c r="BM1" s="403"/>
      <c r="BN1" s="403"/>
      <c r="BO1" s="403"/>
    </row>
    <row r="2" spans="1:68" ht="42" customHeight="1" x14ac:dyDescent="0.25">
      <c r="A2" s="21" t="s">
        <v>53</v>
      </c>
      <c r="B2" s="99" t="s">
        <v>211</v>
      </c>
      <c r="C2" s="99" t="s">
        <v>212</v>
      </c>
      <c r="D2" s="99" t="s">
        <v>213</v>
      </c>
      <c r="E2" s="99" t="s">
        <v>214</v>
      </c>
      <c r="F2" s="99" t="s">
        <v>215</v>
      </c>
      <c r="G2" s="100" t="s">
        <v>216</v>
      </c>
      <c r="H2" s="99" t="s">
        <v>217</v>
      </c>
      <c r="J2" s="19"/>
      <c r="K2" s="136" t="s">
        <v>221</v>
      </c>
      <c r="L2" s="137" t="s">
        <v>173</v>
      </c>
      <c r="M2" s="18"/>
      <c r="N2" s="23" t="s">
        <v>158</v>
      </c>
      <c r="O2" s="20"/>
      <c r="Q2" s="23"/>
      <c r="R2" s="23" t="s">
        <v>223</v>
      </c>
      <c r="S2" s="34"/>
      <c r="T2" s="23"/>
      <c r="U2" s="23"/>
      <c r="W2" s="31" t="s">
        <v>65</v>
      </c>
      <c r="X2" s="32" t="s">
        <v>67</v>
      </c>
      <c r="Y2" s="28"/>
      <c r="Z2" s="20"/>
      <c r="AA2" s="29" t="s">
        <v>64</v>
      </c>
      <c r="AC2" s="31" t="s">
        <v>65</v>
      </c>
      <c r="AD2" s="23" t="s">
        <v>69</v>
      </c>
      <c r="AE2" s="28"/>
      <c r="AF2" s="20"/>
      <c r="AG2" s="29" t="s">
        <v>64</v>
      </c>
      <c r="AI2" s="31" t="s">
        <v>65</v>
      </c>
      <c r="AJ2" s="23" t="s">
        <v>71</v>
      </c>
      <c r="AK2" s="34"/>
      <c r="AL2" s="23"/>
      <c r="AM2" s="29" t="s">
        <v>64</v>
      </c>
      <c r="AO2" s="31" t="s">
        <v>65</v>
      </c>
      <c r="AP2" s="23" t="s">
        <v>73</v>
      </c>
      <c r="AQ2" s="28"/>
      <c r="AR2" s="20"/>
      <c r="AS2" s="29" t="s">
        <v>64</v>
      </c>
      <c r="AU2" s="31" t="s">
        <v>65</v>
      </c>
      <c r="AV2" s="20" t="s">
        <v>75</v>
      </c>
      <c r="AW2" s="28"/>
      <c r="AX2" s="20"/>
      <c r="AY2" s="29" t="s">
        <v>64</v>
      </c>
      <c r="BA2" s="31" t="s">
        <v>65</v>
      </c>
      <c r="BB2" s="33" t="s">
        <v>76</v>
      </c>
      <c r="BC2" s="28"/>
      <c r="BD2" s="20"/>
      <c r="BE2" s="29" t="s">
        <v>64</v>
      </c>
      <c r="BH2" s="237" t="s">
        <v>53</v>
      </c>
      <c r="BI2" s="243" t="s">
        <v>225</v>
      </c>
      <c r="BJ2" s="243" t="s">
        <v>226</v>
      </c>
      <c r="BK2" s="243" t="s">
        <v>213</v>
      </c>
      <c r="BL2" s="243" t="s">
        <v>214</v>
      </c>
      <c r="BM2" s="243" t="s">
        <v>215</v>
      </c>
      <c r="BN2" s="243" t="s">
        <v>216</v>
      </c>
      <c r="BO2" s="242" t="s">
        <v>227</v>
      </c>
      <c r="BP2" s="229" t="s">
        <v>218</v>
      </c>
    </row>
    <row r="3" spans="1:68" s="126" customFormat="1" ht="15.75" x14ac:dyDescent="0.25">
      <c r="A3" s="1" t="s">
        <v>202</v>
      </c>
      <c r="B3" s="40">
        <f>SUM('Datos Ing. est. noil'!B4:B7)</f>
        <v>831.2</v>
      </c>
      <c r="C3" s="40">
        <f>SUM('Datos Ing. est. noil'!C4:C7)</f>
        <v>124.30000000000001</v>
      </c>
      <c r="D3" s="40">
        <f>SUM('Datos Ing. est. noil'!D4:D7)</f>
        <v>353.8</v>
      </c>
      <c r="E3" s="40">
        <f>SUM('Datos Ing. est. noil'!E4:E7)</f>
        <v>622.79999999999995</v>
      </c>
      <c r="F3" s="40">
        <f>SUM('Datos Ing. est. noil'!F4:F7)</f>
        <v>59.100000000000009</v>
      </c>
      <c r="G3" s="40">
        <f>SUM('Datos Ing. est. noil'!G4:G7)</f>
        <v>341.5</v>
      </c>
      <c r="H3" s="40">
        <f t="shared" ref="H3:H10" si="0">+SUM(B3:G3)</f>
        <v>2332.6999999999998</v>
      </c>
      <c r="I3" s="183"/>
      <c r="J3" s="31" t="s">
        <v>202</v>
      </c>
      <c r="K3" s="25">
        <v>38357.784396351497</v>
      </c>
      <c r="L3" s="25">
        <f>+SUM('Datos Ing. est. noil'!K4:K7)</f>
        <v>39175.646000000001</v>
      </c>
      <c r="M3" s="182">
        <f t="shared" ref="M3:M10" si="1">K3/L3</f>
        <v>0.97912321334411423</v>
      </c>
      <c r="N3" s="25">
        <f>+SUM('Datos Ing. est. noil'!L4:L7)</f>
        <v>26735.941219348766</v>
      </c>
      <c r="O3" s="181"/>
      <c r="Q3" s="1" t="s">
        <v>202</v>
      </c>
      <c r="R3" s="233">
        <f>B3</f>
        <v>831.2</v>
      </c>
      <c r="S3" s="34"/>
      <c r="T3" s="23"/>
      <c r="U3" s="234"/>
      <c r="W3" s="1" t="s">
        <v>202</v>
      </c>
      <c r="X3" s="17">
        <f t="shared" ref="X3:X10" si="2">C3</f>
        <v>124.30000000000001</v>
      </c>
      <c r="Y3" s="28"/>
      <c r="Z3" s="20"/>
      <c r="AA3" s="181"/>
      <c r="AC3" s="1"/>
      <c r="AD3" s="17">
        <f t="shared" ref="AD3:AD10" si="3">D3</f>
        <v>353.8</v>
      </c>
      <c r="AE3" s="28"/>
      <c r="AF3" s="20"/>
      <c r="AG3" s="181"/>
      <c r="AI3" s="1"/>
      <c r="AJ3" s="17">
        <f t="shared" ref="AJ3:AJ10" si="4">E3</f>
        <v>622.79999999999995</v>
      </c>
      <c r="AK3" s="34"/>
      <c r="AL3" s="23"/>
      <c r="AM3" s="181"/>
      <c r="AN3" s="126">
        <v>563.47369866085205</v>
      </c>
      <c r="AO3" s="1"/>
      <c r="AP3" s="17">
        <f t="shared" ref="AP3:AP10" si="5">F3</f>
        <v>59.100000000000009</v>
      </c>
      <c r="AQ3" s="28"/>
      <c r="AR3" s="20"/>
      <c r="AS3" s="10"/>
      <c r="AT3" s="126">
        <v>207.881245606947</v>
      </c>
      <c r="AU3" s="1"/>
      <c r="AV3" s="17">
        <f t="shared" ref="AV3:AV10" si="6">G3</f>
        <v>341.5</v>
      </c>
      <c r="AW3" s="28"/>
      <c r="AX3" s="20"/>
      <c r="AY3" s="10"/>
      <c r="AZ3" s="223">
        <v>330.99878047750099</v>
      </c>
      <c r="BA3" s="1" t="s">
        <v>202</v>
      </c>
      <c r="BB3" s="181">
        <f t="shared" ref="BB3:BB10" si="7">H3</f>
        <v>2332.6999999999998</v>
      </c>
      <c r="BC3" s="28"/>
      <c r="BD3" s="20"/>
      <c r="BE3" s="10"/>
      <c r="BH3" s="238" t="s">
        <v>202</v>
      </c>
      <c r="BI3" s="84"/>
      <c r="BJ3" s="84"/>
      <c r="BK3" s="84"/>
      <c r="BL3" s="244"/>
      <c r="BM3" s="84"/>
      <c r="BN3" s="84"/>
      <c r="BO3" s="84"/>
      <c r="BP3" s="228">
        <v>1926.8318445310099</v>
      </c>
    </row>
    <row r="4" spans="1:68" s="126" customFormat="1" ht="15" customHeight="1" x14ac:dyDescent="0.25">
      <c r="A4" s="1" t="s">
        <v>203</v>
      </c>
      <c r="B4" s="40">
        <f>SUM('Datos Ing. est. noil'!B5:B8)</f>
        <v>772.5</v>
      </c>
      <c r="C4" s="40">
        <f>SUM('Datos Ing. est. noil'!C5:C8)</f>
        <v>111.50000000000001</v>
      </c>
      <c r="D4" s="40">
        <f>SUM('Datos Ing. est. noil'!D5:D8)</f>
        <v>315.09999999999997</v>
      </c>
      <c r="E4" s="40">
        <f>SUM('Datos Ing. est. noil'!E5:E8)</f>
        <v>613</v>
      </c>
      <c r="F4" s="40">
        <f>SUM('Datos Ing. est. noil'!F5:F8)</f>
        <v>143.9</v>
      </c>
      <c r="G4" s="40">
        <f>SUM('Datos Ing. est. noil'!G5:G8)</f>
        <v>312.3</v>
      </c>
      <c r="H4" s="40">
        <f t="shared" si="0"/>
        <v>2268.3000000000002</v>
      </c>
      <c r="I4" s="183"/>
      <c r="J4" s="31" t="s">
        <v>203</v>
      </c>
      <c r="K4" s="25">
        <v>38204.126448711701</v>
      </c>
      <c r="L4" s="25">
        <f>+SUM('Datos Ing. est. noil'!K5:K8)</f>
        <v>38719.183446445968</v>
      </c>
      <c r="M4" s="182">
        <f t="shared" si="1"/>
        <v>0.98669762758693857</v>
      </c>
      <c r="N4" s="25">
        <f>+SUM('Datos Ing. est. noil'!L5:L8)</f>
        <v>24948.453386284375</v>
      </c>
      <c r="O4" s="182">
        <f t="shared" ref="O4:O9" si="8">(N4/N3)-1</f>
        <v>-6.6857112618529779E-2</v>
      </c>
      <c r="Q4" s="1" t="s">
        <v>203</v>
      </c>
      <c r="R4" s="233">
        <f t="shared" ref="R4:R10" si="9">B4</f>
        <v>772.5</v>
      </c>
      <c r="S4" s="234">
        <f t="shared" ref="S4:S11" si="10">(R4-R3)/R3</f>
        <v>-7.0620789220404281E-2</v>
      </c>
      <c r="T4" s="234">
        <f t="shared" ref="T4:T9" si="11">S4/O4</f>
        <v>1.0562943336088879</v>
      </c>
      <c r="U4" s="234">
        <f t="shared" ref="U4:U13" si="12">R4*((M4)^T4)</f>
        <v>761.6495134131153</v>
      </c>
      <c r="W4" s="1" t="s">
        <v>203</v>
      </c>
      <c r="X4" s="17">
        <f t="shared" si="2"/>
        <v>111.50000000000001</v>
      </c>
      <c r="Y4" s="181">
        <f t="shared" ref="Y4:Y11" si="13">(X4-X3)/X3</f>
        <v>-0.10297666934835073</v>
      </c>
      <c r="Z4" s="181">
        <f t="shared" ref="Z4:Z11" si="14">Y4/O4</f>
        <v>1.5402500244949291</v>
      </c>
      <c r="AA4" s="181">
        <f t="shared" ref="AA4:AA11" si="15">X4*((M4)^Z4)</f>
        <v>109.22370458756815</v>
      </c>
      <c r="AC4" s="1"/>
      <c r="AD4" s="17">
        <f t="shared" si="3"/>
        <v>315.09999999999997</v>
      </c>
      <c r="AE4" s="181">
        <f t="shared" ref="AE4:AE11" si="16">(AD4-AD3)/AD3</f>
        <v>-0.10938383267382715</v>
      </c>
      <c r="AF4" s="181">
        <f t="shared" ref="AF4:AF11" si="17">AE4/O4</f>
        <v>1.6360837073228747</v>
      </c>
      <c r="AG4" s="40">
        <f t="shared" ref="AG4:AG11" si="18">AD4*((M4)^AF4)</f>
        <v>308.27128854926946</v>
      </c>
      <c r="AI4" s="1"/>
      <c r="AJ4" s="17">
        <f t="shared" si="4"/>
        <v>613</v>
      </c>
      <c r="AK4" s="181">
        <f t="shared" ref="AK4:AK11" si="19">(AJ4-AJ3)/AJ3</f>
        <v>-1.5735388567758437E-2</v>
      </c>
      <c r="AL4" s="181">
        <f t="shared" ref="AL4:AL11" si="20">AK4/O4</f>
        <v>0.23535848246305055</v>
      </c>
      <c r="AM4" s="10">
        <f t="shared" ref="AM4:AM11" si="21">AJ4*((M4)^AL4)</f>
        <v>611.07096586886746</v>
      </c>
      <c r="AN4" s="126">
        <v>523.83133792277704</v>
      </c>
      <c r="AO4" s="1"/>
      <c r="AP4" s="17">
        <f t="shared" si="5"/>
        <v>143.9</v>
      </c>
      <c r="AQ4" s="181">
        <f t="shared" ref="AQ4:AQ11" si="22">(AP4-AP3)/AP3</f>
        <v>1.434856175972927</v>
      </c>
      <c r="AR4" s="181">
        <f t="shared" ref="AR4:AR11" si="23">AQ4/O4</f>
        <v>-21.461533706366637</v>
      </c>
      <c r="AS4" s="181">
        <f t="shared" ref="AS4:AS11" si="24">AP4*((M4)^AR4)</f>
        <v>191.81354485084597</v>
      </c>
      <c r="AT4" s="126">
        <v>223.78085686899701</v>
      </c>
      <c r="AU4" s="1"/>
      <c r="AV4" s="17">
        <f t="shared" si="6"/>
        <v>312.3</v>
      </c>
      <c r="AW4" s="181">
        <f t="shared" ref="AW4:AW11" si="25">(AV4-AV3)/AV3</f>
        <v>-8.5505124450951653E-2</v>
      </c>
      <c r="AX4" s="181">
        <f>AW4/O4</f>
        <v>1.2789233800571502</v>
      </c>
      <c r="AY4" s="181">
        <f t="shared" ref="AY4:AY11" si="26">AV4*((M4)^AX4)</f>
        <v>306.99681743131885</v>
      </c>
      <c r="AZ4" s="223">
        <v>313.28803765211399</v>
      </c>
      <c r="BA4" s="1" t="s">
        <v>203</v>
      </c>
      <c r="BB4" s="181">
        <f t="shared" si="7"/>
        <v>2268.3000000000002</v>
      </c>
      <c r="BC4" s="181">
        <f t="shared" ref="BC4:BC11" si="27">(BB4/BB3)-1</f>
        <v>-2.7607493462511123E-2</v>
      </c>
      <c r="BD4" s="181">
        <f t="shared" ref="BD4:BD10" si="28">BC4/O4</f>
        <v>0.41293278128884631</v>
      </c>
      <c r="BE4" s="181">
        <f t="shared" ref="BE4:BE11" si="29">BB4*((M4)^BD4)</f>
        <v>2255.791263868316</v>
      </c>
      <c r="BH4" s="238" t="s">
        <v>203</v>
      </c>
      <c r="BI4" s="84">
        <f t="shared" ref="BI4:BI35" si="30">+U4</f>
        <v>761.6495134131153</v>
      </c>
      <c r="BJ4" s="84">
        <f t="shared" ref="BJ4:BJ35" si="31">+AA4</f>
        <v>109.22370458756815</v>
      </c>
      <c r="BK4" s="84">
        <f t="shared" ref="BK4:BK35" si="32">+AG4</f>
        <v>308.27128854926946</v>
      </c>
      <c r="BL4" s="244">
        <f t="shared" ref="BL4:BL35" si="33">AM4</f>
        <v>611.07096586886746</v>
      </c>
      <c r="BM4" s="84">
        <f t="shared" ref="BM4:BM35" si="34">AS4</f>
        <v>191.81354485084597</v>
      </c>
      <c r="BN4" s="84">
        <f t="shared" ref="BN4:BN35" si="35">AY4</f>
        <v>306.99681743131885</v>
      </c>
      <c r="BO4" s="84">
        <f t="shared" ref="BO4:BO10" si="36">+SUM(BI4:BN4)</f>
        <v>2289.0258347009853</v>
      </c>
      <c r="BP4" s="228">
        <v>1867.06658067167</v>
      </c>
    </row>
    <row r="5" spans="1:68" s="126" customFormat="1" ht="15" customHeight="1" x14ac:dyDescent="0.25">
      <c r="A5" s="1" t="s">
        <v>204</v>
      </c>
      <c r="B5" s="40">
        <f>SUM('Datos Ing. est. noil'!B6:B9)</f>
        <v>683.60000000000014</v>
      </c>
      <c r="C5" s="40">
        <f>SUM('Datos Ing. est. noil'!C6:C9)</f>
        <v>92.6</v>
      </c>
      <c r="D5" s="40">
        <f>SUM('Datos Ing. est. noil'!D6:D9)</f>
        <v>272</v>
      </c>
      <c r="E5" s="40">
        <f>SUM('Datos Ing. est. noil'!E6:E9)</f>
        <v>514.19999999999993</v>
      </c>
      <c r="F5" s="40">
        <f>SUM('Datos Ing. est. noil'!F6:F9)</f>
        <v>230.6</v>
      </c>
      <c r="G5" s="40">
        <f>SUM('Datos Ing. est. noil'!G6:G9)</f>
        <v>362.5</v>
      </c>
      <c r="H5" s="40">
        <f t="shared" si="0"/>
        <v>2155.5</v>
      </c>
      <c r="I5" s="183"/>
      <c r="J5" s="31" t="s">
        <v>204</v>
      </c>
      <c r="K5" s="25">
        <v>38058.646657108402</v>
      </c>
      <c r="L5" s="25">
        <f>+SUM('Datos Ing. est. noil'!K6:K9)</f>
        <v>38258.126825387902</v>
      </c>
      <c r="M5" s="182">
        <f t="shared" si="1"/>
        <v>0.99478594001243348</v>
      </c>
      <c r="N5" s="25">
        <f>+SUM('Datos Ing. est. noil'!L6:L9)</f>
        <v>23082.862730895024</v>
      </c>
      <c r="O5" s="182">
        <f t="shared" si="8"/>
        <v>-7.4777807926762141E-2</v>
      </c>
      <c r="Q5" s="1" t="s">
        <v>204</v>
      </c>
      <c r="R5" s="233">
        <f t="shared" si="9"/>
        <v>683.60000000000014</v>
      </c>
      <c r="S5" s="234">
        <f t="shared" si="10"/>
        <v>-0.11508090614886714</v>
      </c>
      <c r="T5" s="234">
        <f t="shared" si="11"/>
        <v>1.5389713785349004</v>
      </c>
      <c r="U5" s="234">
        <f t="shared" si="12"/>
        <v>678.12230978897389</v>
      </c>
      <c r="W5" s="1" t="s">
        <v>204</v>
      </c>
      <c r="X5" s="17">
        <f t="shared" si="2"/>
        <v>92.6</v>
      </c>
      <c r="Y5" s="181">
        <f t="shared" si="13"/>
        <v>-0.16950672645739925</v>
      </c>
      <c r="Z5" s="181">
        <f t="shared" si="14"/>
        <v>2.2668052348286971</v>
      </c>
      <c r="AA5" s="181">
        <f t="shared" si="15"/>
        <v>91.509149561311091</v>
      </c>
      <c r="AC5" s="1"/>
      <c r="AD5" s="17">
        <f t="shared" si="3"/>
        <v>272</v>
      </c>
      <c r="AE5" s="181">
        <f t="shared" si="16"/>
        <v>-0.13678197397651529</v>
      </c>
      <c r="AF5" s="181">
        <f t="shared" si="17"/>
        <v>1.8291787064750604</v>
      </c>
      <c r="AG5" s="40">
        <f t="shared" si="18"/>
        <v>269.41142378157861</v>
      </c>
      <c r="AI5" s="1"/>
      <c r="AJ5" s="17">
        <f t="shared" si="4"/>
        <v>514.19999999999993</v>
      </c>
      <c r="AK5" s="181">
        <f t="shared" si="19"/>
        <v>-0.16117455138662329</v>
      </c>
      <c r="AL5" s="181">
        <f t="shared" si="20"/>
        <v>2.1553794615707198</v>
      </c>
      <c r="AM5" s="10">
        <f t="shared" si="21"/>
        <v>508.43867898644004</v>
      </c>
      <c r="AN5" s="126">
        <v>484.78224019809397</v>
      </c>
      <c r="AO5" s="1"/>
      <c r="AP5" s="17">
        <f t="shared" si="5"/>
        <v>230.6</v>
      </c>
      <c r="AQ5" s="181">
        <f t="shared" si="22"/>
        <v>0.6025017373175815</v>
      </c>
      <c r="AR5" s="181">
        <f t="shared" si="23"/>
        <v>-8.057226522441999</v>
      </c>
      <c r="AS5" s="181">
        <f t="shared" si="24"/>
        <v>240.52051227609996</v>
      </c>
      <c r="AT5" s="126">
        <v>238.19265567497899</v>
      </c>
      <c r="AU5" s="1"/>
      <c r="AV5" s="17">
        <f t="shared" si="6"/>
        <v>362.5</v>
      </c>
      <c r="AW5" s="181">
        <f t="shared" si="25"/>
        <v>0.16074287544028174</v>
      </c>
      <c r="AX5" s="181">
        <f t="shared" ref="AX5:AX11" si="37">AW5/O5</f>
        <v>-2.1496066800689628</v>
      </c>
      <c r="AY5" s="181">
        <f t="shared" si="26"/>
        <v>366.59656830803658</v>
      </c>
      <c r="AZ5" s="223">
        <v>295.682307021952</v>
      </c>
      <c r="BA5" s="1" t="s">
        <v>204</v>
      </c>
      <c r="BB5" s="181">
        <f t="shared" si="7"/>
        <v>2155.5</v>
      </c>
      <c r="BC5" s="181">
        <f t="shared" si="27"/>
        <v>-4.9728871842348976E-2</v>
      </c>
      <c r="BD5" s="181">
        <f t="shared" si="28"/>
        <v>0.66502179217467494</v>
      </c>
      <c r="BE5" s="181">
        <f t="shared" si="29"/>
        <v>2148.0193400638095</v>
      </c>
      <c r="BH5" s="238" t="s">
        <v>204</v>
      </c>
      <c r="BI5" s="84">
        <f t="shared" si="30"/>
        <v>678.12230978897389</v>
      </c>
      <c r="BJ5" s="84">
        <f t="shared" si="31"/>
        <v>91.509149561311091</v>
      </c>
      <c r="BK5" s="84">
        <f t="shared" si="32"/>
        <v>269.41142378157861</v>
      </c>
      <c r="BL5" s="244">
        <f t="shared" si="33"/>
        <v>508.43867898644004</v>
      </c>
      <c r="BM5" s="84">
        <f t="shared" si="34"/>
        <v>240.52051227609996</v>
      </c>
      <c r="BN5" s="84">
        <f t="shared" si="35"/>
        <v>366.59656830803658</v>
      </c>
      <c r="BO5" s="84">
        <f t="shared" si="36"/>
        <v>2154.59864270244</v>
      </c>
      <c r="BP5" s="228">
        <v>1811.1699983670201</v>
      </c>
    </row>
    <row r="6" spans="1:68" s="126" customFormat="1" ht="15" customHeight="1" x14ac:dyDescent="0.25">
      <c r="A6" s="1" t="s">
        <v>205</v>
      </c>
      <c r="B6" s="40">
        <f>SUM('Datos Ing. est. noil'!B7:B10)</f>
        <v>621.4</v>
      </c>
      <c r="C6" s="40">
        <f>SUM('Datos Ing. est. noil'!C7:C10)</f>
        <v>79.2</v>
      </c>
      <c r="D6" s="40">
        <f>SUM('Datos Ing. est. noil'!D7:D10)</f>
        <v>188.6</v>
      </c>
      <c r="E6" s="40">
        <f>SUM('Datos Ing. est. noil'!E7:E10)</f>
        <v>425.2</v>
      </c>
      <c r="F6" s="40">
        <f>SUM('Datos Ing. est. noil'!F7:F10)</f>
        <v>331</v>
      </c>
      <c r="G6" s="40">
        <f>SUM('Datos Ing. est. noil'!G7:G10)</f>
        <v>335.20000000000005</v>
      </c>
      <c r="H6" s="40">
        <f t="shared" si="0"/>
        <v>1980.6000000000001</v>
      </c>
      <c r="I6" s="183"/>
      <c r="J6" s="31" t="s">
        <v>205</v>
      </c>
      <c r="K6" s="25">
        <v>37934.673913091101</v>
      </c>
      <c r="L6" s="25">
        <f>+SUM('Datos Ing. est. noil'!K7:K10)</f>
        <v>37791.994371668145</v>
      </c>
      <c r="M6" s="182">
        <f t="shared" si="1"/>
        <v>1.0037753906295541</v>
      </c>
      <c r="N6" s="25">
        <f>+SUM('Datos Ing. est. noil'!L7:L10)</f>
        <v>21149.597436532182</v>
      </c>
      <c r="O6" s="182">
        <f t="shared" si="8"/>
        <v>-8.3753272585868732E-2</v>
      </c>
      <c r="Q6" s="1" t="s">
        <v>205</v>
      </c>
      <c r="R6" s="233">
        <f t="shared" si="9"/>
        <v>621.4</v>
      </c>
      <c r="S6" s="234">
        <f t="shared" si="10"/>
        <v>-9.0988882387361247E-2</v>
      </c>
      <c r="T6" s="234">
        <f t="shared" si="11"/>
        <v>1.0863919650909659</v>
      </c>
      <c r="U6" s="234">
        <f t="shared" si="12"/>
        <v>623.94912085382941</v>
      </c>
      <c r="W6" s="1" t="s">
        <v>205</v>
      </c>
      <c r="X6" s="17">
        <f t="shared" si="2"/>
        <v>79.2</v>
      </c>
      <c r="Y6" s="181">
        <f t="shared" si="13"/>
        <v>-0.14470842332613382</v>
      </c>
      <c r="Z6" s="181">
        <f t="shared" si="14"/>
        <v>1.7277942563709414</v>
      </c>
      <c r="AA6" s="181">
        <f t="shared" si="15"/>
        <v>79.717338911420981</v>
      </c>
      <c r="AC6" s="1"/>
      <c r="AD6" s="17">
        <f t="shared" si="3"/>
        <v>188.6</v>
      </c>
      <c r="AE6" s="181">
        <f t="shared" si="16"/>
        <v>-0.30661764705882355</v>
      </c>
      <c r="AF6" s="181">
        <f t="shared" si="17"/>
        <v>3.6609631790144235</v>
      </c>
      <c r="AG6" s="40">
        <f t="shared" si="18"/>
        <v>191.21986867038601</v>
      </c>
      <c r="AI6" s="1"/>
      <c r="AJ6" s="17">
        <f t="shared" si="4"/>
        <v>425.2</v>
      </c>
      <c r="AK6" s="181">
        <f t="shared" si="19"/>
        <v>-0.17308440295604816</v>
      </c>
      <c r="AL6" s="181">
        <f t="shared" si="20"/>
        <v>2.0665986845898106</v>
      </c>
      <c r="AM6" s="10">
        <f t="shared" si="21"/>
        <v>428.52418286344425</v>
      </c>
      <c r="AN6" s="126">
        <v>447.81135512096699</v>
      </c>
      <c r="AO6" s="1"/>
      <c r="AP6" s="17">
        <f t="shared" si="5"/>
        <v>331</v>
      </c>
      <c r="AQ6" s="181">
        <f t="shared" si="22"/>
        <v>0.43538594969644412</v>
      </c>
      <c r="AR6" s="181">
        <f t="shared" si="23"/>
        <v>-5.1984350730899633</v>
      </c>
      <c r="AS6" s="181">
        <f t="shared" si="24"/>
        <v>324.57908097976417</v>
      </c>
      <c r="AT6" s="126">
        <v>248.83002100013101</v>
      </c>
      <c r="AU6" s="1"/>
      <c r="AV6" s="17">
        <f t="shared" si="6"/>
        <v>335.20000000000005</v>
      </c>
      <c r="AW6" s="181">
        <f t="shared" si="25"/>
        <v>-7.5310344827586084E-2</v>
      </c>
      <c r="AX6" s="181">
        <f t="shared" si="37"/>
        <v>0.89919286139384624</v>
      </c>
      <c r="AY6" s="181">
        <f t="shared" si="26"/>
        <v>336.33772215987801</v>
      </c>
      <c r="AZ6" s="223">
        <v>278.27672040572003</v>
      </c>
      <c r="BA6" s="1" t="s">
        <v>205</v>
      </c>
      <c r="BB6" s="181">
        <f t="shared" si="7"/>
        <v>1980.6000000000001</v>
      </c>
      <c r="BC6" s="181">
        <f t="shared" si="27"/>
        <v>-8.1141266527487765E-2</v>
      </c>
      <c r="BD6" s="181">
        <f t="shared" si="28"/>
        <v>0.96881308660860999</v>
      </c>
      <c r="BE6" s="181">
        <f t="shared" si="29"/>
        <v>1987.8439113978575</v>
      </c>
      <c r="BH6" s="238" t="s">
        <v>205</v>
      </c>
      <c r="BI6" s="84">
        <f t="shared" si="30"/>
        <v>623.94912085382941</v>
      </c>
      <c r="BJ6" s="84">
        <f t="shared" si="31"/>
        <v>79.717338911420981</v>
      </c>
      <c r="BK6" s="84">
        <f t="shared" si="32"/>
        <v>191.21986867038601</v>
      </c>
      <c r="BL6" s="244">
        <f t="shared" si="33"/>
        <v>428.52418286344425</v>
      </c>
      <c r="BM6" s="84">
        <f t="shared" si="34"/>
        <v>324.57908097976417</v>
      </c>
      <c r="BN6" s="84">
        <f t="shared" si="35"/>
        <v>336.33772215987801</v>
      </c>
      <c r="BO6" s="84">
        <f t="shared" si="36"/>
        <v>1984.3273144387226</v>
      </c>
      <c r="BP6" s="228">
        <v>1765.92711336503</v>
      </c>
    </row>
    <row r="7" spans="1:68" s="126" customFormat="1" ht="15" customHeight="1" x14ac:dyDescent="0.25">
      <c r="A7" s="1" t="s">
        <v>206</v>
      </c>
      <c r="B7" s="40">
        <f>SUM('Datos Ing. est. noil'!B8:B11)</f>
        <v>556.59999999999991</v>
      </c>
      <c r="C7" s="40">
        <f>SUM('Datos Ing. est. noil'!C8:C11)</f>
        <v>69.899999999999991</v>
      </c>
      <c r="D7" s="40">
        <f>SUM('Datos Ing. est. noil'!D8:D11)</f>
        <v>126.5</v>
      </c>
      <c r="E7" s="40">
        <f>SUM('Datos Ing. est. noil'!E8:E11)</f>
        <v>348.4</v>
      </c>
      <c r="F7" s="40">
        <f>SUM('Datos Ing. est. noil'!F8:F11)</f>
        <v>411.20000000000005</v>
      </c>
      <c r="G7" s="40">
        <f>SUM('Datos Ing. est. noil'!G8:G11)</f>
        <v>231.4</v>
      </c>
      <c r="H7" s="40">
        <f t="shared" si="0"/>
        <v>1744</v>
      </c>
      <c r="I7" s="183"/>
      <c r="J7" s="31" t="s">
        <v>206</v>
      </c>
      <c r="K7" s="25">
        <v>37847.531641638197</v>
      </c>
      <c r="L7" s="25">
        <f>+SUM('Datos Ing. est. noil'!K8:K11)</f>
        <v>37318.960999999996</v>
      </c>
      <c r="M7" s="182">
        <f t="shared" si="1"/>
        <v>1.0141635947913503</v>
      </c>
      <c r="N7" s="25">
        <f>+SUM('Datos Ing. est. noil'!L8:L11)</f>
        <v>19170.316534907597</v>
      </c>
      <c r="O7" s="182">
        <f t="shared" si="8"/>
        <v>-9.3584802621620056E-2</v>
      </c>
      <c r="Q7" s="1" t="s">
        <v>206</v>
      </c>
      <c r="R7" s="233">
        <f t="shared" si="9"/>
        <v>556.59999999999991</v>
      </c>
      <c r="S7" s="234">
        <f t="shared" si="10"/>
        <v>-0.10428065658191192</v>
      </c>
      <c r="T7" s="234">
        <f t="shared" si="11"/>
        <v>1.1142905008149357</v>
      </c>
      <c r="U7" s="234">
        <f t="shared" si="12"/>
        <v>565.39154154555786</v>
      </c>
      <c r="W7" s="1" t="s">
        <v>206</v>
      </c>
      <c r="X7" s="17">
        <f t="shared" si="2"/>
        <v>69.899999999999991</v>
      </c>
      <c r="Y7" s="181">
        <f t="shared" si="13"/>
        <v>-0.11742424242424257</v>
      </c>
      <c r="Z7" s="181">
        <f t="shared" si="14"/>
        <v>1.2547362299732532</v>
      </c>
      <c r="AA7" s="181">
        <f t="shared" si="15"/>
        <v>71.144466269636297</v>
      </c>
      <c r="AC7" s="1"/>
      <c r="AD7" s="17">
        <f t="shared" si="3"/>
        <v>126.5</v>
      </c>
      <c r="AE7" s="181">
        <f t="shared" si="16"/>
        <v>-0.32926829268292679</v>
      </c>
      <c r="AF7" s="181">
        <f t="shared" si="17"/>
        <v>3.5183949045040661</v>
      </c>
      <c r="AG7" s="40">
        <f t="shared" si="18"/>
        <v>132.91712545838965</v>
      </c>
      <c r="AI7" s="1"/>
      <c r="AJ7" s="17">
        <f t="shared" si="4"/>
        <v>348.4</v>
      </c>
      <c r="AK7" s="181">
        <f t="shared" si="19"/>
        <v>-0.18062088428974604</v>
      </c>
      <c r="AL7" s="181">
        <f t="shared" si="20"/>
        <v>1.9300236708307041</v>
      </c>
      <c r="AM7" s="10">
        <f t="shared" si="21"/>
        <v>357.98659386573649</v>
      </c>
      <c r="AN7" s="126">
        <v>414.69780992358</v>
      </c>
      <c r="AO7" s="1"/>
      <c r="AP7" s="17">
        <f t="shared" si="5"/>
        <v>411.20000000000005</v>
      </c>
      <c r="AQ7" s="181">
        <f t="shared" si="22"/>
        <v>0.242296072507553</v>
      </c>
      <c r="AR7" s="181">
        <f t="shared" si="23"/>
        <v>-2.5890536253754681</v>
      </c>
      <c r="AS7" s="181">
        <f t="shared" si="24"/>
        <v>396.4962855849127</v>
      </c>
      <c r="AT7" s="126">
        <v>253.33040526294599</v>
      </c>
      <c r="AU7" s="1"/>
      <c r="AV7" s="17">
        <f t="shared" si="6"/>
        <v>231.4</v>
      </c>
      <c r="AW7" s="181">
        <f t="shared" si="25"/>
        <v>-0.30966587112171845</v>
      </c>
      <c r="AX7" s="181">
        <f t="shared" si="37"/>
        <v>3.3089333144586783</v>
      </c>
      <c r="AY7" s="181">
        <f t="shared" si="26"/>
        <v>242.42330883470785</v>
      </c>
      <c r="AZ7" s="223">
        <v>261.834586551901</v>
      </c>
      <c r="BA7" s="1" t="s">
        <v>206</v>
      </c>
      <c r="BB7" s="181">
        <f t="shared" si="7"/>
        <v>1744</v>
      </c>
      <c r="BC7" s="181">
        <f t="shared" si="27"/>
        <v>-0.11945874987377569</v>
      </c>
      <c r="BD7" s="181">
        <f t="shared" si="28"/>
        <v>1.276475950446448</v>
      </c>
      <c r="BE7" s="181">
        <f t="shared" si="29"/>
        <v>1775.5921529686623</v>
      </c>
      <c r="BH7" s="238" t="s">
        <v>206</v>
      </c>
      <c r="BI7" s="84">
        <f t="shared" si="30"/>
        <v>565.39154154555786</v>
      </c>
      <c r="BJ7" s="84">
        <f t="shared" si="31"/>
        <v>71.144466269636297</v>
      </c>
      <c r="BK7" s="84">
        <f t="shared" si="32"/>
        <v>132.91712545838965</v>
      </c>
      <c r="BL7" s="244">
        <f t="shared" si="33"/>
        <v>357.98659386573649</v>
      </c>
      <c r="BM7" s="84">
        <f t="shared" si="34"/>
        <v>396.4962855849127</v>
      </c>
      <c r="BN7" s="84">
        <f t="shared" si="35"/>
        <v>242.42330883470785</v>
      </c>
      <c r="BO7" s="84">
        <f t="shared" si="36"/>
        <v>1766.3593215589408</v>
      </c>
      <c r="BP7" s="228">
        <v>1739.5882414299999</v>
      </c>
    </row>
    <row r="8" spans="1:68" s="126" customFormat="1" ht="15" customHeight="1" x14ac:dyDescent="0.25">
      <c r="A8" s="1" t="s">
        <v>207</v>
      </c>
      <c r="B8" s="40">
        <f>SUM('Datos Ing. est. noil'!B9:B12)</f>
        <v>566</v>
      </c>
      <c r="C8" s="40">
        <f>SUM('Datos Ing. est. noil'!C9:C12)</f>
        <v>61.400000000000006</v>
      </c>
      <c r="D8" s="40">
        <f>SUM('Datos Ing. est. noil'!D9:D12)</f>
        <v>132</v>
      </c>
      <c r="E8" s="40">
        <f>SUM('Datos Ing. est. noil'!E9:E12)</f>
        <v>313.90000000000003</v>
      </c>
      <c r="F8" s="40">
        <f>SUM('Datos Ing. est. noil'!F9:F12)</f>
        <v>361.20000000000005</v>
      </c>
      <c r="G8" s="40">
        <f>SUM('Datos Ing. est. noil'!G9:G12)</f>
        <v>223.7</v>
      </c>
      <c r="H8" s="40">
        <f t="shared" si="0"/>
        <v>1658.2</v>
      </c>
      <c r="I8" s="183"/>
      <c r="J8" s="31" t="s">
        <v>0</v>
      </c>
      <c r="K8" s="25">
        <v>37811.1165285971</v>
      </c>
      <c r="L8" s="25">
        <f>+SUM('Datos Ing. est. noil'!K9:K12)</f>
        <v>37278.750856680868</v>
      </c>
      <c r="M8" s="182">
        <f t="shared" si="1"/>
        <v>1.0142806735655636</v>
      </c>
      <c r="N8" s="25">
        <f>+SUM('Datos Ing. est. noil'!L9:L12)</f>
        <v>18460.179058144</v>
      </c>
      <c r="O8" s="182">
        <f t="shared" si="8"/>
        <v>-3.7043596826922154E-2</v>
      </c>
      <c r="Q8" s="31" t="s">
        <v>0</v>
      </c>
      <c r="R8" s="233">
        <f t="shared" si="9"/>
        <v>566</v>
      </c>
      <c r="S8" s="234">
        <f t="shared" si="10"/>
        <v>1.6888250089831285E-2</v>
      </c>
      <c r="T8" s="234">
        <f t="shared" si="11"/>
        <v>-0.45590200564858274</v>
      </c>
      <c r="U8" s="234">
        <f t="shared" si="12"/>
        <v>562.35287278566159</v>
      </c>
      <c r="W8" s="1" t="s">
        <v>207</v>
      </c>
      <c r="X8" s="17">
        <f t="shared" si="2"/>
        <v>61.400000000000006</v>
      </c>
      <c r="Y8" s="181">
        <f t="shared" si="13"/>
        <v>-0.12160228898426305</v>
      </c>
      <c r="Z8" s="181">
        <f t="shared" si="14"/>
        <v>3.2826803928469013</v>
      </c>
      <c r="AA8" s="181">
        <f t="shared" si="15"/>
        <v>64.325565168153091</v>
      </c>
      <c r="AC8" s="1"/>
      <c r="AD8" s="17">
        <f t="shared" si="3"/>
        <v>132</v>
      </c>
      <c r="AE8" s="181">
        <f t="shared" si="16"/>
        <v>4.3478260869565216E-2</v>
      </c>
      <c r="AF8" s="181">
        <f t="shared" si="17"/>
        <v>-1.1737051634782545</v>
      </c>
      <c r="AG8" s="40">
        <f t="shared" si="18"/>
        <v>129.82133723782286</v>
      </c>
      <c r="AI8" s="1"/>
      <c r="AJ8" s="17">
        <f t="shared" si="4"/>
        <v>313.90000000000003</v>
      </c>
      <c r="AK8" s="181">
        <f t="shared" si="19"/>
        <v>-9.9024110218139907E-2</v>
      </c>
      <c r="AL8" s="181">
        <f t="shared" si="20"/>
        <v>2.6731775178530235</v>
      </c>
      <c r="AM8" s="10">
        <f t="shared" si="21"/>
        <v>326.02668251395187</v>
      </c>
      <c r="AN8" s="126">
        <v>386.99461828690499</v>
      </c>
      <c r="AO8" s="1"/>
      <c r="AP8" s="17">
        <f t="shared" si="5"/>
        <v>361.20000000000005</v>
      </c>
      <c r="AQ8" s="181">
        <f t="shared" si="22"/>
        <v>-0.1215953307392996</v>
      </c>
      <c r="AR8" s="181">
        <f t="shared" si="23"/>
        <v>3.2824925535019274</v>
      </c>
      <c r="AS8" s="181">
        <f t="shared" si="24"/>
        <v>378.40932009825696</v>
      </c>
      <c r="AT8" s="126">
        <v>250.15296067191301</v>
      </c>
      <c r="AU8" s="1"/>
      <c r="AV8" s="17">
        <f t="shared" si="6"/>
        <v>223.7</v>
      </c>
      <c r="AW8" s="181">
        <f t="shared" si="25"/>
        <v>-3.327571305099402E-2</v>
      </c>
      <c r="AX8" s="181">
        <f t="shared" si="37"/>
        <v>0.89828515320656577</v>
      </c>
      <c r="AY8" s="181">
        <f t="shared" si="26"/>
        <v>226.56757646689692</v>
      </c>
      <c r="AZ8" s="223">
        <v>247.68844700492301</v>
      </c>
      <c r="BA8" s="1" t="s">
        <v>207</v>
      </c>
      <c r="BB8" s="181">
        <f t="shared" si="7"/>
        <v>1658.2</v>
      </c>
      <c r="BC8" s="181">
        <f t="shared" si="27"/>
        <v>-4.9197247706421976E-2</v>
      </c>
      <c r="BD8" s="181">
        <f t="shared" si="28"/>
        <v>1.3280904642247624</v>
      </c>
      <c r="BE8" s="181">
        <f t="shared" si="29"/>
        <v>1689.7229066193834</v>
      </c>
      <c r="BH8" s="238" t="s">
        <v>0</v>
      </c>
      <c r="BI8" s="241">
        <f t="shared" si="30"/>
        <v>562.35287278566159</v>
      </c>
      <c r="BJ8" s="241">
        <f t="shared" si="31"/>
        <v>64.325565168153091</v>
      </c>
      <c r="BK8" s="241">
        <f t="shared" si="32"/>
        <v>129.82133723782286</v>
      </c>
      <c r="BL8" s="245">
        <f t="shared" si="33"/>
        <v>326.02668251395187</v>
      </c>
      <c r="BM8" s="241">
        <f t="shared" si="34"/>
        <v>378.40932009825696</v>
      </c>
      <c r="BN8" s="241">
        <f t="shared" si="35"/>
        <v>226.56757646689692</v>
      </c>
      <c r="BO8" s="241">
        <f t="shared" si="36"/>
        <v>1687.5033542707433</v>
      </c>
      <c r="BP8" s="228">
        <v>1739.8174271926</v>
      </c>
    </row>
    <row r="9" spans="1:68" s="126" customFormat="1" ht="15" customHeight="1" x14ac:dyDescent="0.25">
      <c r="A9" s="1" t="s">
        <v>208</v>
      </c>
      <c r="B9" s="40">
        <f>SUM('Datos Ing. est. noil'!B10:B13)</f>
        <v>631.1</v>
      </c>
      <c r="C9" s="40">
        <f>SUM('Datos Ing. est. noil'!C10:C13)</f>
        <v>62.3</v>
      </c>
      <c r="D9" s="40">
        <f>SUM('Datos Ing. est. noil'!D10:D13)</f>
        <v>163.69999999999999</v>
      </c>
      <c r="E9" s="40">
        <f>SUM('Datos Ing. est. noil'!E10:E13)</f>
        <v>313.39999999999998</v>
      </c>
      <c r="F9" s="40">
        <f>SUM('Datos Ing. est. noil'!F10:F13)</f>
        <v>305.89999999999998</v>
      </c>
      <c r="G9" s="40">
        <f>SUM('Datos Ing. est. noil'!G10:G13)</f>
        <v>176.6</v>
      </c>
      <c r="H9" s="40">
        <f t="shared" si="0"/>
        <v>1653</v>
      </c>
      <c r="I9" s="183"/>
      <c r="J9" s="31" t="s">
        <v>6</v>
      </c>
      <c r="K9" s="25">
        <v>37834.039943398799</v>
      </c>
      <c r="L9" s="25">
        <f>+SUM('Datos Ing. est. noil'!K10:K13)</f>
        <v>37332.027964823792</v>
      </c>
      <c r="M9" s="182">
        <f t="shared" si="1"/>
        <v>1.013447219611215</v>
      </c>
      <c r="N9" s="25">
        <f>+SUM('Datos Ing. est. noil'!L10:L13)</f>
        <v>18135.492109517352</v>
      </c>
      <c r="O9" s="182">
        <f t="shared" si="8"/>
        <v>-1.7588504835407193E-2</v>
      </c>
      <c r="Q9" s="31" t="s">
        <v>6</v>
      </c>
      <c r="R9" s="233">
        <f t="shared" si="9"/>
        <v>631.1</v>
      </c>
      <c r="S9" s="234">
        <f t="shared" si="10"/>
        <v>0.11501766784452301</v>
      </c>
      <c r="T9" s="234">
        <f t="shared" si="11"/>
        <v>-6.5393658483683286</v>
      </c>
      <c r="U9" s="234">
        <f t="shared" si="12"/>
        <v>578.31230432321695</v>
      </c>
      <c r="W9" s="1" t="s">
        <v>208</v>
      </c>
      <c r="X9" s="17">
        <f t="shared" si="2"/>
        <v>62.3</v>
      </c>
      <c r="Y9" s="181">
        <f t="shared" si="13"/>
        <v>1.4657980456025918E-2</v>
      </c>
      <c r="Z9" s="181">
        <f t="shared" si="14"/>
        <v>-0.8333841104286549</v>
      </c>
      <c r="AA9" s="181">
        <f t="shared" si="15"/>
        <v>61.610321132613812</v>
      </c>
      <c r="AC9" s="1"/>
      <c r="AD9" s="17">
        <f t="shared" si="3"/>
        <v>163.69999999999999</v>
      </c>
      <c r="AE9" s="181">
        <f t="shared" si="16"/>
        <v>0.24015151515151506</v>
      </c>
      <c r="AF9" s="181">
        <f>AE9/O9</f>
        <v>-13.653890276566838</v>
      </c>
      <c r="AG9" s="40">
        <f t="shared" si="18"/>
        <v>136.40824182640014</v>
      </c>
      <c r="AI9" s="1"/>
      <c r="AJ9" s="17">
        <f t="shared" si="4"/>
        <v>313.39999999999998</v>
      </c>
      <c r="AK9" s="181">
        <f t="shared" si="19"/>
        <v>-1.5928639694171927E-3</v>
      </c>
      <c r="AL9" s="181">
        <f t="shared" si="20"/>
        <v>9.0562784291398024E-2</v>
      </c>
      <c r="AM9" s="10">
        <f t="shared" si="21"/>
        <v>313.77935007067276</v>
      </c>
      <c r="AN9" s="126">
        <v>365.59181579268198</v>
      </c>
      <c r="AO9" s="1"/>
      <c r="AP9" s="17">
        <f t="shared" si="5"/>
        <v>305.89999999999998</v>
      </c>
      <c r="AQ9" s="181">
        <f t="shared" si="22"/>
        <v>-0.15310077519379861</v>
      </c>
      <c r="AR9" s="181">
        <f t="shared" si="23"/>
        <v>8.7045929501405599</v>
      </c>
      <c r="AS9" s="181">
        <f t="shared" si="24"/>
        <v>343.6180749677016</v>
      </c>
      <c r="AT9" s="126">
        <v>239.33553538289101</v>
      </c>
      <c r="AU9" s="1"/>
      <c r="AV9" s="17">
        <f t="shared" si="6"/>
        <v>176.6</v>
      </c>
      <c r="AW9" s="181">
        <f t="shared" si="25"/>
        <v>-0.21054984354045594</v>
      </c>
      <c r="AX9" s="181">
        <f t="shared" si="37"/>
        <v>11.970877883639135</v>
      </c>
      <c r="AY9" s="181">
        <f t="shared" si="26"/>
        <v>207.22177257497111</v>
      </c>
      <c r="AZ9" s="223">
        <v>236.86649744369501</v>
      </c>
      <c r="BA9" s="1" t="s">
        <v>208</v>
      </c>
      <c r="BB9" s="181">
        <f t="shared" si="7"/>
        <v>1653</v>
      </c>
      <c r="BC9" s="181">
        <f t="shared" si="27"/>
        <v>-3.1359305270776128E-3</v>
      </c>
      <c r="BD9" s="181">
        <f t="shared" si="28"/>
        <v>0.17829432100247153</v>
      </c>
      <c r="BE9" s="181">
        <f t="shared" si="29"/>
        <v>1656.9414527294816</v>
      </c>
      <c r="BH9" s="238" t="s">
        <v>6</v>
      </c>
      <c r="BI9" s="241">
        <f t="shared" si="30"/>
        <v>578.31230432321695</v>
      </c>
      <c r="BJ9" s="241">
        <f t="shared" si="31"/>
        <v>61.610321132613812</v>
      </c>
      <c r="BK9" s="241">
        <f t="shared" si="32"/>
        <v>136.40824182640014</v>
      </c>
      <c r="BL9" s="245">
        <f t="shared" si="33"/>
        <v>313.77935007067276</v>
      </c>
      <c r="BM9" s="241">
        <f t="shared" si="34"/>
        <v>343.6180749677016</v>
      </c>
      <c r="BN9" s="241">
        <f t="shared" si="35"/>
        <v>207.22177257497111</v>
      </c>
      <c r="BO9" s="241">
        <f t="shared" si="36"/>
        <v>1640.9500648955764</v>
      </c>
      <c r="BP9" s="228">
        <v>1770.94183286917</v>
      </c>
    </row>
    <row r="10" spans="1:68" s="126" customFormat="1" ht="15" customHeight="1" x14ac:dyDescent="0.25">
      <c r="A10" s="1" t="s">
        <v>1</v>
      </c>
      <c r="B10" s="40">
        <f>SUM('Datos Ing. est. noil'!B11:B14)</f>
        <v>710.9</v>
      </c>
      <c r="C10" s="40">
        <f>SUM('Datos Ing. est. noil'!C11:C14)</f>
        <v>65.3</v>
      </c>
      <c r="D10" s="40">
        <f>SUM('Datos Ing. est. noil'!D11:D14)</f>
        <v>223.3</v>
      </c>
      <c r="E10" s="40">
        <f>SUM('Datos Ing. est. noil'!E11:E14)</f>
        <v>325.5</v>
      </c>
      <c r="F10" s="40">
        <f>SUM('Datos Ing. est. noil'!F11:F14)</f>
        <v>236.5</v>
      </c>
      <c r="G10" s="40">
        <f>SUM('Datos Ing. est. noil'!G11:G14)</f>
        <v>206.7</v>
      </c>
      <c r="H10" s="40">
        <f t="shared" si="0"/>
        <v>1768.2</v>
      </c>
      <c r="I10" s="183"/>
      <c r="J10" s="31" t="s">
        <v>1</v>
      </c>
      <c r="K10" s="25">
        <v>37919.590090188598</v>
      </c>
      <c r="L10" s="25">
        <f>+SUM('Datos Ing. est. noil'!K11:K14)</f>
        <v>37511.358950496193</v>
      </c>
      <c r="M10" s="182">
        <f t="shared" si="1"/>
        <v>1.0108828672464558</v>
      </c>
      <c r="N10" s="25">
        <f>+SUM('Datos Ing. est. noil'!L11:L14)</f>
        <v>18143.500359784499</v>
      </c>
      <c r="O10" s="182">
        <f>O11</f>
        <v>9.6508742383367707E-3</v>
      </c>
      <c r="Q10" s="31" t="s">
        <v>1</v>
      </c>
      <c r="R10" s="233">
        <f t="shared" si="9"/>
        <v>710.9</v>
      </c>
      <c r="S10" s="234">
        <f t="shared" si="10"/>
        <v>0.12644588813183322</v>
      </c>
      <c r="T10" s="234">
        <f>S10/O10</f>
        <v>13.102013870364647</v>
      </c>
      <c r="U10" s="234">
        <f t="shared" si="12"/>
        <v>819.21695730355464</v>
      </c>
      <c r="W10" s="1" t="s">
        <v>1</v>
      </c>
      <c r="X10" s="17">
        <f t="shared" si="2"/>
        <v>65.3</v>
      </c>
      <c r="Y10" s="181">
        <f t="shared" si="13"/>
        <v>4.8154093097913325E-2</v>
      </c>
      <c r="Z10" s="181">
        <f t="shared" si="14"/>
        <v>4.9896094290222761</v>
      </c>
      <c r="AA10" s="181">
        <f t="shared" si="15"/>
        <v>68.92368948101965</v>
      </c>
      <c r="AC10" s="1"/>
      <c r="AD10" s="17">
        <f t="shared" si="3"/>
        <v>223.3</v>
      </c>
      <c r="AE10" s="181">
        <f t="shared" si="16"/>
        <v>0.36408063530849133</v>
      </c>
      <c r="AF10" s="181">
        <f t="shared" si="17"/>
        <v>37.725145548185786</v>
      </c>
      <c r="AG10" s="40">
        <f t="shared" si="18"/>
        <v>335.91426515644872</v>
      </c>
      <c r="AI10" s="1"/>
      <c r="AJ10" s="17">
        <f t="shared" si="4"/>
        <v>325.5</v>
      </c>
      <c r="AK10" s="181">
        <f t="shared" si="19"/>
        <v>3.8608806636885845E-2</v>
      </c>
      <c r="AL10" s="181">
        <f t="shared" si="20"/>
        <v>4.0005501764304077</v>
      </c>
      <c r="AM10" s="10">
        <f t="shared" si="21"/>
        <v>339.90450715623757</v>
      </c>
      <c r="AN10" s="126">
        <v>350.64849183977799</v>
      </c>
      <c r="AO10" s="1"/>
      <c r="AP10" s="17">
        <f t="shared" si="5"/>
        <v>236.5</v>
      </c>
      <c r="AQ10" s="181">
        <f t="shared" si="22"/>
        <v>-0.22687152664269364</v>
      </c>
      <c r="AR10" s="181">
        <f t="shared" si="23"/>
        <v>-23.507873073454601</v>
      </c>
      <c r="AS10" s="181">
        <f t="shared" si="24"/>
        <v>183.36839676664076</v>
      </c>
      <c r="AT10" s="126">
        <v>222.02644794502299</v>
      </c>
      <c r="AU10" s="1"/>
      <c r="AV10" s="17">
        <f t="shared" si="6"/>
        <v>206.7</v>
      </c>
      <c r="AW10" s="181">
        <f t="shared" si="25"/>
        <v>0.17044167610419023</v>
      </c>
      <c r="AX10" s="181">
        <f t="shared" si="37"/>
        <v>17.660749885967231</v>
      </c>
      <c r="AY10" s="181">
        <f t="shared" si="26"/>
        <v>250.24232496618859</v>
      </c>
      <c r="AZ10" s="223">
        <v>230.15704907707499</v>
      </c>
      <c r="BA10" s="1" t="s">
        <v>1</v>
      </c>
      <c r="BB10" s="181">
        <f t="shared" si="7"/>
        <v>1768.2</v>
      </c>
      <c r="BC10" s="181">
        <f t="shared" si="27"/>
        <v>6.9691470054446425E-2</v>
      </c>
      <c r="BD10" s="181">
        <f t="shared" si="28"/>
        <v>7.2212597878031239</v>
      </c>
      <c r="BE10" s="181">
        <f t="shared" si="29"/>
        <v>1911.9535829395586</v>
      </c>
      <c r="BH10" s="238" t="s">
        <v>1</v>
      </c>
      <c r="BI10" s="241">
        <f t="shared" si="30"/>
        <v>819.21695730355464</v>
      </c>
      <c r="BJ10" s="241">
        <f t="shared" si="31"/>
        <v>68.92368948101965</v>
      </c>
      <c r="BK10" s="241">
        <f t="shared" si="32"/>
        <v>335.91426515644872</v>
      </c>
      <c r="BL10" s="245">
        <f t="shared" si="33"/>
        <v>339.90450715623757</v>
      </c>
      <c r="BM10" s="241">
        <f t="shared" si="34"/>
        <v>183.36839676664076</v>
      </c>
      <c r="BN10" s="241">
        <f t="shared" si="35"/>
        <v>250.24232496618859</v>
      </c>
      <c r="BO10" s="241">
        <f t="shared" si="36"/>
        <v>1997.5701408300897</v>
      </c>
      <c r="BP10" s="228">
        <v>1833.61944640414</v>
      </c>
    </row>
    <row r="11" spans="1:68" s="126" customFormat="1" ht="15" customHeight="1" x14ac:dyDescent="0.25">
      <c r="A11" s="1" t="s">
        <v>2</v>
      </c>
      <c r="B11" s="40">
        <f>SUM('Datos Ing. est. noil'!B12:B15)</f>
        <v>835.6</v>
      </c>
      <c r="C11" s="40">
        <f>SUM('Datos Ing. est. noil'!C12:C15)</f>
        <v>74.599999999999994</v>
      </c>
      <c r="D11" s="40">
        <f>SUM('Datos Ing. est. noil'!D12:D15)</f>
        <v>293.59999999999997</v>
      </c>
      <c r="E11" s="40">
        <f>SUM('Datos Ing. est. noil'!E12:E15)</f>
        <v>312.8</v>
      </c>
      <c r="F11" s="40">
        <f>SUM('Datos Ing. est. noil'!F12:F15)</f>
        <v>193.39999999999998</v>
      </c>
      <c r="G11" s="40">
        <f>SUM('Datos Ing. est. noil'!G12:G15)</f>
        <v>230.89999999999998</v>
      </c>
      <c r="H11" s="40">
        <f>+SUM(B11:G11)</f>
        <v>1940.9</v>
      </c>
      <c r="I11" s="183"/>
      <c r="J11" s="31" t="s">
        <v>2</v>
      </c>
      <c r="K11" s="25">
        <v>38066.0347736775</v>
      </c>
      <c r="L11" s="25">
        <f>+SUM('Datos Ing. est. noil'!K12:K15)</f>
        <v>37726.409999999996</v>
      </c>
      <c r="M11" s="26">
        <f>K11/L11</f>
        <v>1.0090023082948392</v>
      </c>
      <c r="N11" s="25">
        <f>+SUM('Datos Ing. est. noil'!L12:L15)</f>
        <v>18318.600999999999</v>
      </c>
      <c r="O11" s="182">
        <f>(N11/N10)-1</f>
        <v>9.6508742383367707E-3</v>
      </c>
      <c r="Q11" s="31" t="s">
        <v>2</v>
      </c>
      <c r="R11" s="233">
        <f>B11</f>
        <v>835.6</v>
      </c>
      <c r="S11" s="234">
        <f t="shared" si="10"/>
        <v>0.17541145027430025</v>
      </c>
      <c r="T11" s="234">
        <f>S11/O11</f>
        <v>18.175705738398538</v>
      </c>
      <c r="U11" s="234">
        <f t="shared" si="12"/>
        <v>983.42485867857488</v>
      </c>
      <c r="W11" s="1" t="s">
        <v>2</v>
      </c>
      <c r="X11" s="17">
        <f>C11</f>
        <v>74.599999999999994</v>
      </c>
      <c r="Y11" s="181">
        <f t="shared" si="13"/>
        <v>0.14241960183767224</v>
      </c>
      <c r="Z11" s="181">
        <f t="shared" si="14"/>
        <v>14.757171041762202</v>
      </c>
      <c r="AA11" s="181">
        <f t="shared" si="15"/>
        <v>85.148322223685867</v>
      </c>
      <c r="AC11" s="1" t="s">
        <v>2</v>
      </c>
      <c r="AD11" s="17">
        <f>D11</f>
        <v>293.59999999999997</v>
      </c>
      <c r="AE11" s="181">
        <f t="shared" si="16"/>
        <v>0.31482310792655599</v>
      </c>
      <c r="AF11" s="181">
        <f t="shared" si="17"/>
        <v>32.621200955656896</v>
      </c>
      <c r="AG11" s="40">
        <f t="shared" si="18"/>
        <v>393.2991224335367</v>
      </c>
      <c r="AI11" s="1" t="s">
        <v>2</v>
      </c>
      <c r="AJ11" s="17">
        <f>E11</f>
        <v>312.8</v>
      </c>
      <c r="AK11" s="181">
        <f t="shared" si="19"/>
        <v>-3.9016897081413177E-2</v>
      </c>
      <c r="AL11" s="181">
        <f t="shared" si="20"/>
        <v>-4.0428355108414857</v>
      </c>
      <c r="AM11" s="10">
        <f t="shared" si="21"/>
        <v>301.6694855280993</v>
      </c>
      <c r="AN11" s="126">
        <v>341.80181766913603</v>
      </c>
      <c r="AO11" s="1" t="s">
        <v>2</v>
      </c>
      <c r="AP11" s="17">
        <f>F11</f>
        <v>193.39999999999998</v>
      </c>
      <c r="AQ11" s="181">
        <f t="shared" si="22"/>
        <v>-0.18224101479915444</v>
      </c>
      <c r="AR11" s="181">
        <f t="shared" si="23"/>
        <v>-18.883368521706259</v>
      </c>
      <c r="AS11" s="181">
        <f t="shared" si="24"/>
        <v>163.2899223053098</v>
      </c>
      <c r="AT11" s="126">
        <v>200.039661553619</v>
      </c>
      <c r="AU11" s="1" t="s">
        <v>2</v>
      </c>
      <c r="AV11" s="17">
        <f>G11</f>
        <v>230.89999999999998</v>
      </c>
      <c r="AW11" s="181">
        <f t="shared" si="25"/>
        <v>0.11707789066279628</v>
      </c>
      <c r="AX11" s="181">
        <f t="shared" si="37"/>
        <v>12.131324869794744</v>
      </c>
      <c r="AY11" s="181">
        <f t="shared" si="26"/>
        <v>257.41923040097896</v>
      </c>
      <c r="AZ11" s="223">
        <v>227.74574813948601</v>
      </c>
      <c r="BA11" s="1" t="s">
        <v>2</v>
      </c>
      <c r="BB11" s="12">
        <f>H11</f>
        <v>1940.9</v>
      </c>
      <c r="BC11" s="181">
        <f t="shared" si="27"/>
        <v>9.7669946838592869E-2</v>
      </c>
      <c r="BD11" s="181">
        <f>BC11/O11</f>
        <v>10.120321167445374</v>
      </c>
      <c r="BE11" s="181">
        <f t="shared" si="29"/>
        <v>2125.167017097217</v>
      </c>
      <c r="BF11" s="126">
        <v>1875.87750260342</v>
      </c>
      <c r="BH11" s="238" t="s">
        <v>2</v>
      </c>
      <c r="BI11" s="241">
        <f t="shared" si="30"/>
        <v>983.42485867857488</v>
      </c>
      <c r="BJ11" s="241">
        <f t="shared" si="31"/>
        <v>85.148322223685867</v>
      </c>
      <c r="BK11" s="241">
        <f t="shared" si="32"/>
        <v>393.2991224335367</v>
      </c>
      <c r="BL11" s="245">
        <f t="shared" si="33"/>
        <v>301.6694855280993</v>
      </c>
      <c r="BM11" s="241">
        <f t="shared" si="34"/>
        <v>163.2899223053098</v>
      </c>
      <c r="BN11" s="241">
        <f t="shared" si="35"/>
        <v>257.41923040097896</v>
      </c>
      <c r="BO11" s="241">
        <f>+SUM(BI11:BN11)</f>
        <v>2184.2509415701857</v>
      </c>
      <c r="BP11" s="228">
        <v>1925.0218374132401</v>
      </c>
    </row>
    <row r="12" spans="1:68" ht="15.75" x14ac:dyDescent="0.25">
      <c r="A12" s="1" t="s">
        <v>3</v>
      </c>
      <c r="B12" s="40">
        <f>SUM('Datos Ing. est. noil'!B13:B16)</f>
        <v>961.5</v>
      </c>
      <c r="C12" s="40">
        <f>SUM('Datos Ing. est. noil'!C13:C16)</f>
        <v>99.100000000000009</v>
      </c>
      <c r="D12" s="40">
        <f>SUM('Datos Ing. est. noil'!D13:D16)</f>
        <v>329.2</v>
      </c>
      <c r="E12" s="40">
        <f>SUM('Datos Ing. est. noil'!E13:E16)</f>
        <v>319.19999999999993</v>
      </c>
      <c r="F12" s="40">
        <f>SUM('Datos Ing. est. noil'!F13:F16)</f>
        <v>164.7</v>
      </c>
      <c r="G12" s="40">
        <f>SUM('Datos Ing. est. noil'!G13:G16)</f>
        <v>228.10000000000002</v>
      </c>
      <c r="H12" s="40">
        <f>+SUM(B12:G12)</f>
        <v>2101.8000000000002</v>
      </c>
      <c r="I12" s="183"/>
      <c r="J12" s="31" t="s">
        <v>3</v>
      </c>
      <c r="K12" s="25">
        <v>38267.559897674801</v>
      </c>
      <c r="L12" s="25">
        <f>+SUM('Datos Ing. est. noil'!K13:K16)</f>
        <v>38291.185999999994</v>
      </c>
      <c r="M12" s="26">
        <f>K12/L12</f>
        <v>0.99938298849439677</v>
      </c>
      <c r="N12" s="25">
        <f>+SUM('Datos Ing. est. noil'!L13:L16)</f>
        <v>20403.557000000001</v>
      </c>
      <c r="O12" s="26">
        <f>(N12/N11)-1</f>
        <v>0.1138163334634561</v>
      </c>
      <c r="P12" s="86"/>
      <c r="Q12" s="31" t="s">
        <v>3</v>
      </c>
      <c r="R12" s="233">
        <f t="shared" ref="R12:R58" si="38">B12</f>
        <v>961.5</v>
      </c>
      <c r="S12" s="234">
        <f>(R12-R11)/R11</f>
        <v>0.15067017711823835</v>
      </c>
      <c r="T12" s="234">
        <f>S12/O12</f>
        <v>1.3238010093394479</v>
      </c>
      <c r="U12" s="234">
        <f t="shared" si="12"/>
        <v>960.71472482698528</v>
      </c>
      <c r="W12" s="1" t="s">
        <v>3</v>
      </c>
      <c r="X12" s="17">
        <f>C12</f>
        <v>99.100000000000009</v>
      </c>
      <c r="Y12" s="12">
        <f>(X12-X11)/X11</f>
        <v>0.3284182305630029</v>
      </c>
      <c r="Z12" s="12">
        <f>Y12/O12</f>
        <v>2.8855105464142432</v>
      </c>
      <c r="AA12" s="12">
        <f>X12*((M12)^Z12)</f>
        <v>98.923665646295618</v>
      </c>
      <c r="AC12" s="1" t="s">
        <v>3</v>
      </c>
      <c r="AD12" s="17">
        <f>D12</f>
        <v>329.2</v>
      </c>
      <c r="AE12" s="12">
        <f>(AD12-AD11)/AD11</f>
        <v>0.12125340599455051</v>
      </c>
      <c r="AF12" s="12">
        <f>AE12/O12</f>
        <v>1.0653427527032602</v>
      </c>
      <c r="AG12" s="40">
        <f>AD12*((M12)^AF12)</f>
        <v>328.98361174317944</v>
      </c>
      <c r="AI12" s="1" t="s">
        <v>3</v>
      </c>
      <c r="AJ12" s="17">
        <f>E12</f>
        <v>319.19999999999993</v>
      </c>
      <c r="AK12" s="12">
        <f>(AJ12-AJ11)/AJ11</f>
        <v>2.046035805626573E-2</v>
      </c>
      <c r="AL12" s="12">
        <f>AK12/O12</f>
        <v>0.17976644857247223</v>
      </c>
      <c r="AM12" s="10">
        <f>AJ12*((M12)^AL12)</f>
        <v>319.16458602242443</v>
      </c>
      <c r="AN12" s="126">
        <v>338.43747960330097</v>
      </c>
      <c r="AO12" s="1" t="s">
        <v>3</v>
      </c>
      <c r="AP12" s="17">
        <f>F12</f>
        <v>164.7</v>
      </c>
      <c r="AQ12" s="12">
        <f>(AP12-AP11)/AP11</f>
        <v>-0.14839710444674245</v>
      </c>
      <c r="AR12" s="12">
        <f>AQ12/O12</f>
        <v>-1.3038295992410394</v>
      </c>
      <c r="AS12" s="12">
        <f>AP12*((M12)^AR12)</f>
        <v>164.83259174014279</v>
      </c>
      <c r="AT12" s="125">
        <v>175.33387492454401</v>
      </c>
      <c r="AU12" s="1" t="s">
        <v>3</v>
      </c>
      <c r="AV12" s="17">
        <f>G12</f>
        <v>228.10000000000002</v>
      </c>
      <c r="AW12" s="12">
        <f>(AV12-AV11)/AV11</f>
        <v>-1.2126461671719163E-2</v>
      </c>
      <c r="AX12" s="12">
        <f>AW12/O12</f>
        <v>-0.10654412510672469</v>
      </c>
      <c r="AY12" s="12">
        <f>AV12*((M12)^AX12)</f>
        <v>228.11500017589253</v>
      </c>
      <c r="AZ12" s="223">
        <v>229.58367037457899</v>
      </c>
      <c r="BA12" s="1" t="s">
        <v>3</v>
      </c>
      <c r="BB12" s="12">
        <f>H12</f>
        <v>2101.8000000000002</v>
      </c>
      <c r="BC12" s="12">
        <f>(BB12/BB11)-1</f>
        <v>8.2899685712813698E-2</v>
      </c>
      <c r="BD12" s="12">
        <f>BC12/O12</f>
        <v>0.72836369956892832</v>
      </c>
      <c r="BE12" s="12">
        <f>BB12*((M12)^BD12)</f>
        <v>2100.8553534433636</v>
      </c>
      <c r="BF12" s="126">
        <v>2040.70149883409</v>
      </c>
      <c r="BH12" s="238" t="s">
        <v>3</v>
      </c>
      <c r="BI12" s="241">
        <f t="shared" si="30"/>
        <v>960.71472482698528</v>
      </c>
      <c r="BJ12" s="241">
        <f t="shared" si="31"/>
        <v>98.923665646295618</v>
      </c>
      <c r="BK12" s="241">
        <f t="shared" si="32"/>
        <v>328.98361174317944</v>
      </c>
      <c r="BL12" s="245">
        <f t="shared" si="33"/>
        <v>319.16458602242443</v>
      </c>
      <c r="BM12" s="241">
        <f t="shared" si="34"/>
        <v>164.83259174014279</v>
      </c>
      <c r="BN12" s="241">
        <f t="shared" si="35"/>
        <v>228.11500017589253</v>
      </c>
      <c r="BO12" s="241">
        <f>+SUM(BI12:BN12)</f>
        <v>2100.7341801549201</v>
      </c>
      <c r="BP12" s="228">
        <v>2039.7853810481799</v>
      </c>
    </row>
    <row r="13" spans="1:68" ht="15.75" x14ac:dyDescent="0.25">
      <c r="A13" s="1" t="s">
        <v>4</v>
      </c>
      <c r="B13" s="40">
        <f>SUM('Datos Ing. est. noil'!B14:B17)</f>
        <v>1106</v>
      </c>
      <c r="C13" s="40">
        <f>SUM('Datos Ing. est. noil'!C14:C17)</f>
        <v>112.10000000000001</v>
      </c>
      <c r="D13" s="40">
        <f>SUM('Datos Ing. est. noil'!D14:D17)</f>
        <v>454.2</v>
      </c>
      <c r="E13" s="40">
        <f>SUM('Datos Ing. est. noil'!E14:E17)</f>
        <v>335.7</v>
      </c>
      <c r="F13" s="40">
        <f>SUM('Datos Ing. est. noil'!F14:F17)</f>
        <v>123.3</v>
      </c>
      <c r="G13" s="40">
        <f>SUM('Datos Ing. est. noil'!G13:G16)</f>
        <v>228.10000000000002</v>
      </c>
      <c r="H13" s="40">
        <f t="shared" ref="H13:H58" si="39">+SUM(B13:G13)</f>
        <v>2359.4</v>
      </c>
      <c r="I13" s="183"/>
      <c r="J13" s="31" t="s">
        <v>4</v>
      </c>
      <c r="K13" s="25">
        <v>38514.955018252898</v>
      </c>
      <c r="L13" s="25">
        <f>+SUM('Datos Ing. est. noil'!K14:K17)</f>
        <v>38773.184999999998</v>
      </c>
      <c r="M13" s="26">
        <f t="shared" ref="M13:M43" si="40">K13/L13</f>
        <v>0.9933399853082201</v>
      </c>
      <c r="N13" s="25">
        <f>+SUM('Datos Ing. est. noil'!L14:L17)</f>
        <v>22070.698</v>
      </c>
      <c r="O13" s="26">
        <f>(N13/N12)-1</f>
        <v>8.1708351146812186E-2</v>
      </c>
      <c r="P13" s="86"/>
      <c r="Q13" s="31" t="s">
        <v>4</v>
      </c>
      <c r="R13" s="233">
        <f t="shared" si="38"/>
        <v>1106</v>
      </c>
      <c r="S13" s="234">
        <f>(R13-R12)/R12</f>
        <v>0.15028601144045761</v>
      </c>
      <c r="T13" s="234">
        <f>S13/O13</f>
        <v>1.8392980562100225</v>
      </c>
      <c r="U13" s="234">
        <f t="shared" si="12"/>
        <v>1092.4896532500939</v>
      </c>
      <c r="W13" s="1" t="s">
        <v>4</v>
      </c>
      <c r="X13" s="17">
        <f t="shared" ref="X13:X58" si="41">C13</f>
        <v>112.10000000000001</v>
      </c>
      <c r="Y13" s="12">
        <f>(X13-X12)/X12</f>
        <v>0.13118062563067606</v>
      </c>
      <c r="Z13" s="12">
        <f>Y13/O13</f>
        <v>1.6054739055371823</v>
      </c>
      <c r="AA13" s="12">
        <f>X13*((M13)^Z13)</f>
        <v>110.90379184698098</v>
      </c>
      <c r="AC13" s="1" t="s">
        <v>4</v>
      </c>
      <c r="AD13" s="17">
        <f t="shared" ref="AD13:AD58" si="42">D13</f>
        <v>454.2</v>
      </c>
      <c r="AE13" s="12">
        <f>(AD13-AD12)/AD12</f>
        <v>0.37970838396111789</v>
      </c>
      <c r="AF13" s="12">
        <f>AE13/O13</f>
        <v>4.6471184234138354</v>
      </c>
      <c r="AG13" s="40">
        <f>AD13*((M13)^AF13)</f>
        <v>440.31229190232432</v>
      </c>
      <c r="AI13" s="1" t="s">
        <v>4</v>
      </c>
      <c r="AJ13" s="17">
        <f t="shared" ref="AJ13:AJ58" si="43">E13</f>
        <v>335.7</v>
      </c>
      <c r="AK13" s="12">
        <f>(AJ13-AJ12)/AJ12</f>
        <v>5.1691729323308462E-2</v>
      </c>
      <c r="AL13" s="12">
        <f>AK13/O13</f>
        <v>0.63263703890474587</v>
      </c>
      <c r="AM13" s="10">
        <f>AJ13*((M13)^AL13)</f>
        <v>334.28383545405069</v>
      </c>
      <c r="AN13" s="126">
        <v>339.65114578812597</v>
      </c>
      <c r="AO13" s="1" t="s">
        <v>4</v>
      </c>
      <c r="AP13" s="17">
        <f t="shared" ref="AP13:AP58" si="44">F13</f>
        <v>123.3</v>
      </c>
      <c r="AQ13" s="12">
        <f>(AP13-AP12)/AP12</f>
        <v>-0.25136612021857918</v>
      </c>
      <c r="AR13" s="12">
        <f>AQ13/O13</f>
        <v>-3.0763822386640598</v>
      </c>
      <c r="AS13" s="12">
        <f>AP13*((M13)^AR13)</f>
        <v>125.86094585686482</v>
      </c>
      <c r="AT13" s="125">
        <v>149.80139015812199</v>
      </c>
      <c r="AU13" s="1" t="s">
        <v>4</v>
      </c>
      <c r="AV13" s="17">
        <f t="shared" ref="AV13:AV58" si="45">G13</f>
        <v>228.10000000000002</v>
      </c>
      <c r="AW13" s="12">
        <f>(AV13-AV12)/AV12</f>
        <v>0</v>
      </c>
      <c r="AX13" s="12">
        <f>AW13/O13</f>
        <v>0</v>
      </c>
      <c r="AY13" s="12">
        <f>AV13*((M13)^AX13)</f>
        <v>228.10000000000002</v>
      </c>
      <c r="AZ13" s="223">
        <v>235.653434044612</v>
      </c>
      <c r="BA13" s="1" t="s">
        <v>4</v>
      </c>
      <c r="BB13" s="12">
        <f t="shared" ref="BB13:BB58" si="46">H13</f>
        <v>2359.4</v>
      </c>
      <c r="BC13" s="12">
        <f>(BB13/BB12)-1</f>
        <v>0.12256161385479114</v>
      </c>
      <c r="BD13" s="12">
        <f>BC13/O13</f>
        <v>1.4999888277585542</v>
      </c>
      <c r="BE13" s="12">
        <f>BB13*((M13)^BD13)</f>
        <v>2335.8690049615898</v>
      </c>
      <c r="BF13" s="126">
        <v>2203.65072003872</v>
      </c>
      <c r="BH13" s="238" t="s">
        <v>4</v>
      </c>
      <c r="BI13" s="241">
        <f t="shared" si="30"/>
        <v>1092.4896532500939</v>
      </c>
      <c r="BJ13" s="241">
        <f t="shared" si="31"/>
        <v>110.90379184698098</v>
      </c>
      <c r="BK13" s="241">
        <f t="shared" si="32"/>
        <v>440.31229190232432</v>
      </c>
      <c r="BL13" s="245">
        <f t="shared" si="33"/>
        <v>334.28383545405069</v>
      </c>
      <c r="BM13" s="241">
        <f t="shared" si="34"/>
        <v>125.86094585686482</v>
      </c>
      <c r="BN13" s="241">
        <f t="shared" si="35"/>
        <v>228.10000000000002</v>
      </c>
      <c r="BO13" s="241">
        <f t="shared" ref="BO13:BO21" si="47">+SUM(BI13:BN13)</f>
        <v>2331.9505183103142</v>
      </c>
      <c r="BP13" s="228">
        <v>2171.06323408652</v>
      </c>
    </row>
    <row r="14" spans="1:68" ht="15.75" x14ac:dyDescent="0.25">
      <c r="A14" s="1" t="s">
        <v>5</v>
      </c>
      <c r="B14" s="40">
        <f>SUM('Datos Ing. est. noil'!B15:B18)</f>
        <v>1252.5999999999999</v>
      </c>
      <c r="C14" s="40">
        <f>SUM('Datos Ing. est. noil'!C15:C18)</f>
        <v>124.9</v>
      </c>
      <c r="D14" s="40">
        <f>SUM('Datos Ing. est. noil'!D15:D18)</f>
        <v>486.1</v>
      </c>
      <c r="E14" s="40">
        <f>SUM('Datos Ing. est. noil'!E15:E18)</f>
        <v>335.5</v>
      </c>
      <c r="F14" s="40">
        <f>SUM('Datos Ing. est. noil'!F15:F18)</f>
        <v>83.199999999999989</v>
      </c>
      <c r="G14" s="40">
        <f>SUM('Datos Ing. est. noil'!G14:G17)</f>
        <v>218.39999999999998</v>
      </c>
      <c r="H14" s="40">
        <f t="shared" si="39"/>
        <v>2500.6999999999998</v>
      </c>
      <c r="I14" s="183"/>
      <c r="J14" s="31" t="s">
        <v>5</v>
      </c>
      <c r="K14" s="25">
        <v>38799.246092507703</v>
      </c>
      <c r="L14" s="25">
        <f>+SUM('Datos Ing. est. noil'!K15:K18)</f>
        <v>39034.176999999996</v>
      </c>
      <c r="M14" s="26">
        <f t="shared" si="40"/>
        <v>0.99398140487265063</v>
      </c>
      <c r="N14" s="25">
        <f>+SUM('Datos Ing. est. noil'!L15:L18)</f>
        <v>23323.653999999999</v>
      </c>
      <c r="O14" s="26">
        <f>(N14/N13)-1</f>
        <v>5.6770112118792015E-2</v>
      </c>
      <c r="P14" s="86"/>
      <c r="Q14" s="31" t="s">
        <v>5</v>
      </c>
      <c r="R14" s="233">
        <f t="shared" si="38"/>
        <v>1252.5999999999999</v>
      </c>
      <c r="S14" s="234">
        <f t="shared" ref="S14:S58" si="48">(R14-R13)/R13</f>
        <v>0.13254972875226032</v>
      </c>
      <c r="T14" s="234">
        <f t="shared" ref="T14:T58" si="49">S14/O14</f>
        <v>2.3348505719858137</v>
      </c>
      <c r="U14" s="234">
        <f t="shared" ref="U14:U58" si="50">R14*((M14)^T14)</f>
        <v>1235.0684728815531</v>
      </c>
      <c r="W14" s="1" t="s">
        <v>5</v>
      </c>
      <c r="X14" s="17">
        <f t="shared" si="41"/>
        <v>124.9</v>
      </c>
      <c r="Y14" s="12">
        <f t="shared" ref="Y14:Y58" si="51">(X14-X13)/X13</f>
        <v>0.11418376449598569</v>
      </c>
      <c r="Z14" s="12">
        <f t="shared" ref="Z14:Z58" si="52">Y14/O14</f>
        <v>2.0113358990212147</v>
      </c>
      <c r="AA14" s="12">
        <f t="shared" ref="AA14:AA58" si="53">X14*((M14)^Z14)</f>
        <v>123.39263491667595</v>
      </c>
      <c r="AC14" s="1" t="s">
        <v>5</v>
      </c>
      <c r="AD14" s="17">
        <f t="shared" si="42"/>
        <v>486.1</v>
      </c>
      <c r="AE14" s="12">
        <f t="shared" ref="AE14:AE58" si="54">(AD14-AD13)/AD13</f>
        <v>7.0233377366798841E-2</v>
      </c>
      <c r="AF14" s="12">
        <f t="shared" ref="AF14:AF58" si="55">AE14/O14</f>
        <v>1.2371541070737153</v>
      </c>
      <c r="AG14" s="40">
        <f t="shared" ref="AG14:AG58" si="56">AD14*((M14)^AF14)</f>
        <v>482.48312064073588</v>
      </c>
      <c r="AI14" s="1" t="s">
        <v>5</v>
      </c>
      <c r="AJ14" s="17">
        <f t="shared" si="43"/>
        <v>335.5</v>
      </c>
      <c r="AK14" s="12">
        <f t="shared" ref="AK14:AK58" si="57">(AJ14-AJ13)/AJ13</f>
        <v>-5.9577003276731796E-4</v>
      </c>
      <c r="AL14" s="12">
        <f t="shared" ref="AL14:AL58" si="58">AK14/O14</f>
        <v>-1.0494431145752598E-2</v>
      </c>
      <c r="AM14" s="10">
        <f t="shared" ref="AM14:AM58" si="59">AJ14*((M14)^AL14)</f>
        <v>335.52125546076019</v>
      </c>
      <c r="AN14" s="126">
        <v>344.34610957343102</v>
      </c>
      <c r="AO14" s="1" t="s">
        <v>5</v>
      </c>
      <c r="AP14" s="17">
        <f t="shared" si="44"/>
        <v>83.199999999999989</v>
      </c>
      <c r="AQ14" s="12">
        <f t="shared" ref="AQ14:AQ58" si="60">(AP14-AP13)/AP13</f>
        <v>-0.3252230332522304</v>
      </c>
      <c r="AR14" s="12">
        <f t="shared" ref="AR14:AR58" si="61">AQ14/O14</f>
        <v>-5.7287720794297181</v>
      </c>
      <c r="AS14" s="12">
        <f t="shared" ref="AS14:AS58" si="62">AP14*((M14)^AR14)</f>
        <v>86.127665995373533</v>
      </c>
      <c r="AT14" s="125">
        <v>125.228170605434</v>
      </c>
      <c r="AU14" s="1" t="s">
        <v>5</v>
      </c>
      <c r="AV14" s="17">
        <f t="shared" si="45"/>
        <v>218.39999999999998</v>
      </c>
      <c r="AW14" s="12">
        <f t="shared" ref="AW14:AW58" si="63">(AV14-AV13)/AV13</f>
        <v>-4.2525208241999318E-2</v>
      </c>
      <c r="AX14" s="12">
        <f t="shared" ref="AX14:AX58" si="64">AW14/O14</f>
        <v>-0.74907740455074145</v>
      </c>
      <c r="AY14" s="12">
        <f t="shared" ref="AY14:AY58" si="65">AV14*((M14)^AX14)</f>
        <v>219.38984452236318</v>
      </c>
      <c r="AZ14" s="223">
        <v>245.922820708096</v>
      </c>
      <c r="BA14" s="1" t="s">
        <v>5</v>
      </c>
      <c r="BB14" s="12">
        <f t="shared" si="46"/>
        <v>2500.6999999999998</v>
      </c>
      <c r="BC14" s="12">
        <f t="shared" ref="BC14:BC58" si="66">(BB14/BB13)-1</f>
        <v>5.9888107145884328E-2</v>
      </c>
      <c r="BD14" s="12">
        <f t="shared" ref="BD14:BD58" si="67">BC14/O14</f>
        <v>1.0549231789531766</v>
      </c>
      <c r="BE14" s="12">
        <f t="shared" ref="BE14:BE58" si="68">BB14*((M14)^BD14)</f>
        <v>2484.8252960284726</v>
      </c>
      <c r="BF14" s="126">
        <v>2361.4143762029398</v>
      </c>
      <c r="BH14" s="238" t="s">
        <v>5</v>
      </c>
      <c r="BI14" s="241">
        <f t="shared" si="30"/>
        <v>1235.0684728815531</v>
      </c>
      <c r="BJ14" s="241">
        <f t="shared" si="31"/>
        <v>123.39263491667595</v>
      </c>
      <c r="BK14" s="241">
        <f t="shared" si="32"/>
        <v>482.48312064073588</v>
      </c>
      <c r="BL14" s="245">
        <f t="shared" si="33"/>
        <v>335.52125546076019</v>
      </c>
      <c r="BM14" s="241">
        <f t="shared" si="34"/>
        <v>86.127665995373533</v>
      </c>
      <c r="BN14" s="241">
        <f t="shared" si="35"/>
        <v>219.38984452236318</v>
      </c>
      <c r="BO14" s="241">
        <f t="shared" si="47"/>
        <v>2481.9829944174621</v>
      </c>
      <c r="BP14" s="228">
        <v>2311.21669949535</v>
      </c>
    </row>
    <row r="15" spans="1:68" ht="15.75" x14ac:dyDescent="0.25">
      <c r="A15" s="1" t="s">
        <v>7</v>
      </c>
      <c r="B15" s="40">
        <f>SUM('Datos Ing. est. noil'!B16:B19)</f>
        <v>1340.1</v>
      </c>
      <c r="C15" s="40">
        <f>SUM('Datos Ing. est. noil'!C16:C19)</f>
        <v>137.30000000000001</v>
      </c>
      <c r="D15" s="40">
        <f>SUM('Datos Ing. est. noil'!D16:D19)</f>
        <v>475.59999999999997</v>
      </c>
      <c r="E15" s="40">
        <f>SUM('Datos Ing. est. noil'!E16:E19)</f>
        <v>371.9</v>
      </c>
      <c r="F15" s="40">
        <f>SUM('Datos Ing. est. noil'!F16:F19)</f>
        <v>38</v>
      </c>
      <c r="G15" s="40">
        <f>SUM('Datos Ing. est. noil'!G15:G18)</f>
        <v>185.2</v>
      </c>
      <c r="H15" s="40">
        <f t="shared" si="39"/>
        <v>2548.0999999999995</v>
      </c>
      <c r="I15" s="183"/>
      <c r="J15" s="31" t="s">
        <v>7</v>
      </c>
      <c r="K15" s="25">
        <v>39114.041527352303</v>
      </c>
      <c r="L15" s="25">
        <f>+SUM('Datos Ing. est. noil'!K16:K19)</f>
        <v>39241.362999999998</v>
      </c>
      <c r="M15" s="26">
        <f t="shared" si="40"/>
        <v>0.99675542685284158</v>
      </c>
      <c r="N15" s="25">
        <f>+SUM('Datos Ing. est. noil'!L16:L19)</f>
        <v>24468.324000000001</v>
      </c>
      <c r="O15" s="26">
        <f t="shared" ref="O15:O46" si="69">(N15/N14)-1</f>
        <v>4.9077644523452646E-2</v>
      </c>
      <c r="P15" s="86"/>
      <c r="Q15" s="31" t="s">
        <v>7</v>
      </c>
      <c r="R15" s="233">
        <f t="shared" si="38"/>
        <v>1340.1</v>
      </c>
      <c r="S15" s="234">
        <f t="shared" si="48"/>
        <v>6.9854702219383683E-2</v>
      </c>
      <c r="T15" s="234">
        <f t="shared" si="49"/>
        <v>1.4233507516034585</v>
      </c>
      <c r="U15" s="234">
        <f t="shared" si="50"/>
        <v>1333.915449343782</v>
      </c>
      <c r="W15" s="1" t="s">
        <v>7</v>
      </c>
      <c r="X15" s="17">
        <f t="shared" si="41"/>
        <v>137.30000000000001</v>
      </c>
      <c r="Y15" s="12">
        <f t="shared" si="51"/>
        <v>9.927942353883111E-2</v>
      </c>
      <c r="Z15" s="12">
        <f t="shared" si="52"/>
        <v>2.0229052250335413</v>
      </c>
      <c r="AA15" s="12">
        <f t="shared" si="53"/>
        <v>136.40033179132345</v>
      </c>
      <c r="AC15" s="1" t="s">
        <v>7</v>
      </c>
      <c r="AD15" s="17">
        <f t="shared" si="42"/>
        <v>475.59999999999997</v>
      </c>
      <c r="AE15" s="12">
        <f t="shared" si="54"/>
        <v>-2.1600493725570987E-2</v>
      </c>
      <c r="AF15" s="12">
        <f t="shared" si="55"/>
        <v>-0.44012898205105988</v>
      </c>
      <c r="AG15" s="40">
        <f t="shared" si="56"/>
        <v>476.28076233837947</v>
      </c>
      <c r="AI15" s="1" t="s">
        <v>7</v>
      </c>
      <c r="AJ15" s="17">
        <f t="shared" si="43"/>
        <v>371.9</v>
      </c>
      <c r="AK15" s="12">
        <f t="shared" si="57"/>
        <v>0.1084947839046199</v>
      </c>
      <c r="AL15" s="12">
        <f t="shared" si="58"/>
        <v>2.2106762652957741</v>
      </c>
      <c r="AM15" s="10">
        <f t="shared" si="59"/>
        <v>369.23771055453813</v>
      </c>
      <c r="AN15" s="126">
        <v>351.38615285115497</v>
      </c>
      <c r="AO15" s="1" t="s">
        <v>7</v>
      </c>
      <c r="AP15" s="17">
        <f t="shared" si="44"/>
        <v>38</v>
      </c>
      <c r="AQ15" s="12">
        <f t="shared" si="60"/>
        <v>-0.54326923076923073</v>
      </c>
      <c r="AR15" s="12">
        <f t="shared" si="61"/>
        <v>-11.069586489824703</v>
      </c>
      <c r="AS15" s="12">
        <f t="shared" si="62"/>
        <v>39.391916698566284</v>
      </c>
      <c r="AT15" s="125">
        <v>103.135165715979</v>
      </c>
      <c r="AU15" s="1" t="s">
        <v>7</v>
      </c>
      <c r="AV15" s="17">
        <f t="shared" si="45"/>
        <v>185.2</v>
      </c>
      <c r="AW15" s="12">
        <f t="shared" si="63"/>
        <v>-0.15201465201465197</v>
      </c>
      <c r="AX15" s="12">
        <f t="shared" si="64"/>
        <v>-3.0974317021675524</v>
      </c>
      <c r="AY15" s="12">
        <f t="shared" si="65"/>
        <v>187.07367159449632</v>
      </c>
      <c r="AZ15" s="223">
        <v>260.28407758309498</v>
      </c>
      <c r="BA15" s="1" t="s">
        <v>7</v>
      </c>
      <c r="BB15" s="12">
        <f t="shared" si="46"/>
        <v>2548.0999999999995</v>
      </c>
      <c r="BC15" s="12">
        <f t="shared" si="66"/>
        <v>1.8954692686047769E-2</v>
      </c>
      <c r="BD15" s="12">
        <f t="shared" si="67"/>
        <v>0.38621846810496224</v>
      </c>
      <c r="BE15" s="12">
        <f t="shared" si="68"/>
        <v>2544.903755051726</v>
      </c>
      <c r="BF15" s="126">
        <v>2510.911170112</v>
      </c>
      <c r="BH15" s="238" t="s">
        <v>7</v>
      </c>
      <c r="BI15" s="241">
        <f t="shared" si="30"/>
        <v>1333.915449343782</v>
      </c>
      <c r="BJ15" s="241">
        <f t="shared" si="31"/>
        <v>136.40033179132345</v>
      </c>
      <c r="BK15" s="241">
        <f t="shared" si="32"/>
        <v>476.28076233837947</v>
      </c>
      <c r="BL15" s="245">
        <f t="shared" si="33"/>
        <v>369.23771055453813</v>
      </c>
      <c r="BM15" s="241">
        <f t="shared" si="34"/>
        <v>39.391916698566284</v>
      </c>
      <c r="BN15" s="241">
        <f t="shared" si="35"/>
        <v>187.07367159449632</v>
      </c>
      <c r="BO15" s="241">
        <f t="shared" si="47"/>
        <v>2542.2998423210852</v>
      </c>
      <c r="BP15" s="228">
        <v>2453.4844479008698</v>
      </c>
    </row>
    <row r="16" spans="1:68" ht="15.75" x14ac:dyDescent="0.25">
      <c r="A16" s="1" t="s">
        <v>8</v>
      </c>
      <c r="B16" s="40">
        <f>SUM('Datos Ing. est. noil'!B17:B20)</f>
        <v>1440.4</v>
      </c>
      <c r="C16" s="40">
        <f>SUM('Datos Ing. est. noil'!C17:C20)</f>
        <v>156</v>
      </c>
      <c r="D16" s="40">
        <f>SUM('Datos Ing. est. noil'!D17:D20)</f>
        <v>492.5</v>
      </c>
      <c r="E16" s="40">
        <f>SUM('Datos Ing. est. noil'!E17:E20)</f>
        <v>392.59999999999997</v>
      </c>
      <c r="F16" s="40">
        <f>SUM('Datos Ing. est. noil'!F17:F20)</f>
        <v>32.900000000000006</v>
      </c>
      <c r="G16" s="40">
        <f>SUM('Datos Ing. est. noil'!G16:G19)</f>
        <v>203.1</v>
      </c>
      <c r="H16" s="40">
        <f t="shared" si="39"/>
        <v>2717.5</v>
      </c>
      <c r="I16" s="183"/>
      <c r="J16" s="31" t="s">
        <v>8</v>
      </c>
      <c r="K16" s="25">
        <v>39455.299268774797</v>
      </c>
      <c r="L16" s="25">
        <f>+SUM('Datos Ing. est. noil'!K17:K20)</f>
        <v>39605.565999999999</v>
      </c>
      <c r="M16" s="26">
        <f t="shared" si="40"/>
        <v>0.99620591885430443</v>
      </c>
      <c r="N16" s="25">
        <f>+SUM('Datos Ing. est. noil'!L17:L20)</f>
        <v>25301.792999999998</v>
      </c>
      <c r="O16" s="26">
        <f t="shared" si="69"/>
        <v>3.4063183077026382E-2</v>
      </c>
      <c r="P16" s="86"/>
      <c r="Q16" s="31" t="s">
        <v>8</v>
      </c>
      <c r="R16" s="233">
        <f t="shared" si="38"/>
        <v>1440.4</v>
      </c>
      <c r="S16" s="234">
        <f t="shared" si="48"/>
        <v>7.4845160808895E-2</v>
      </c>
      <c r="T16" s="234">
        <f t="shared" si="49"/>
        <v>2.197245061908899</v>
      </c>
      <c r="U16" s="234">
        <f t="shared" si="50"/>
        <v>1428.4193337371617</v>
      </c>
      <c r="W16" s="1" t="s">
        <v>8</v>
      </c>
      <c r="X16" s="17">
        <f t="shared" si="41"/>
        <v>156</v>
      </c>
      <c r="Y16" s="12">
        <f t="shared" si="51"/>
        <v>0.13619810633648935</v>
      </c>
      <c r="Z16" s="12">
        <f t="shared" si="52"/>
        <v>3.9983963339100561</v>
      </c>
      <c r="AA16" s="12">
        <f t="shared" si="53"/>
        <v>153.64686971561051</v>
      </c>
      <c r="AC16" s="1" t="s">
        <v>8</v>
      </c>
      <c r="AD16" s="17">
        <f t="shared" si="42"/>
        <v>492.5</v>
      </c>
      <c r="AE16" s="12">
        <f t="shared" si="54"/>
        <v>3.5534062237174167E-2</v>
      </c>
      <c r="AF16" s="12">
        <f t="shared" si="55"/>
        <v>1.0431809075746596</v>
      </c>
      <c r="AG16" s="40">
        <f t="shared" si="56"/>
        <v>490.55088771113805</v>
      </c>
      <c r="AI16" s="1" t="s">
        <v>8</v>
      </c>
      <c r="AJ16" s="17">
        <f t="shared" si="43"/>
        <v>392.59999999999997</v>
      </c>
      <c r="AK16" s="12">
        <f t="shared" si="57"/>
        <v>5.5660123689163725E-2</v>
      </c>
      <c r="AL16" s="12">
        <f t="shared" si="58"/>
        <v>1.6340259089498659</v>
      </c>
      <c r="AM16" s="10">
        <f t="shared" si="59"/>
        <v>390.16895535598456</v>
      </c>
      <c r="AN16" s="126">
        <v>359.54659641750197</v>
      </c>
      <c r="AO16" s="1" t="s">
        <v>8</v>
      </c>
      <c r="AP16" s="17">
        <f t="shared" si="44"/>
        <v>32.900000000000006</v>
      </c>
      <c r="AQ16" s="12">
        <f t="shared" si="60"/>
        <v>-0.13421052631578934</v>
      </c>
      <c r="AR16" s="12">
        <f t="shared" si="61"/>
        <v>-3.9400465309510802</v>
      </c>
      <c r="AS16" s="12">
        <f t="shared" si="62"/>
        <v>33.396461275992529</v>
      </c>
      <c r="AT16" s="125">
        <v>84.623043233202196</v>
      </c>
      <c r="AU16" s="1" t="s">
        <v>8</v>
      </c>
      <c r="AV16" s="17">
        <f t="shared" si="45"/>
        <v>203.1</v>
      </c>
      <c r="AW16" s="12">
        <f t="shared" si="63"/>
        <v>9.6652267818574555E-2</v>
      </c>
      <c r="AX16" s="12">
        <f t="shared" si="64"/>
        <v>2.8374408698099867</v>
      </c>
      <c r="AY16" s="12">
        <f t="shared" si="65"/>
        <v>200.92114413019596</v>
      </c>
      <c r="AZ16" s="223">
        <v>278.35422368059398</v>
      </c>
      <c r="BA16" s="1" t="s">
        <v>8</v>
      </c>
      <c r="BB16" s="12">
        <f t="shared" si="46"/>
        <v>2717.5</v>
      </c>
      <c r="BC16" s="12">
        <f t="shared" si="66"/>
        <v>6.6480907342726159E-2</v>
      </c>
      <c r="BD16" s="12">
        <f t="shared" si="67"/>
        <v>1.9516939210406214</v>
      </c>
      <c r="BE16" s="12">
        <f t="shared" si="68"/>
        <v>2697.4135566390773</v>
      </c>
      <c r="BF16" s="126">
        <v>2649.83066078909</v>
      </c>
      <c r="BH16" s="238" t="s">
        <v>8</v>
      </c>
      <c r="BI16" s="241">
        <f t="shared" si="30"/>
        <v>1428.4193337371617</v>
      </c>
      <c r="BJ16" s="241">
        <f t="shared" si="31"/>
        <v>153.64686971561051</v>
      </c>
      <c r="BK16" s="241">
        <f t="shared" si="32"/>
        <v>490.55088771113805</v>
      </c>
      <c r="BL16" s="245">
        <f t="shared" si="33"/>
        <v>390.16895535598456</v>
      </c>
      <c r="BM16" s="241">
        <f t="shared" si="34"/>
        <v>33.396461275992529</v>
      </c>
      <c r="BN16" s="241">
        <f t="shared" si="35"/>
        <v>200.92114413019596</v>
      </c>
      <c r="BO16" s="241">
        <f t="shared" si="47"/>
        <v>2697.1036519260829</v>
      </c>
      <c r="BP16" s="228">
        <v>2592.3779829343498</v>
      </c>
    </row>
    <row r="17" spans="1:68" ht="15.75" x14ac:dyDescent="0.25">
      <c r="A17" s="1" t="s">
        <v>9</v>
      </c>
      <c r="B17" s="40">
        <f>SUM('Datos Ing. est. noil'!B18:B21)</f>
        <v>1503.3</v>
      </c>
      <c r="C17" s="40">
        <f>SUM('Datos Ing. est. noil'!C18:C21)</f>
        <v>179</v>
      </c>
      <c r="D17" s="40">
        <f>SUM('Datos Ing. est. noil'!D18:D21)</f>
        <v>473.7</v>
      </c>
      <c r="E17" s="40">
        <f>SUM('Datos Ing. est. noil'!E18:E21)</f>
        <v>405.9</v>
      </c>
      <c r="F17" s="40">
        <f>SUM('Datos Ing. est. noil'!F18:F21)</f>
        <v>41.699999999999996</v>
      </c>
      <c r="G17" s="40">
        <f>SUM('Datos Ing. est. noil'!G17:G20)</f>
        <v>284.10000000000002</v>
      </c>
      <c r="H17" s="40">
        <f t="shared" si="39"/>
        <v>2887.7</v>
      </c>
      <c r="I17" s="183"/>
      <c r="J17" s="31" t="s">
        <v>9</v>
      </c>
      <c r="K17" s="25">
        <v>39820.2508474899</v>
      </c>
      <c r="L17" s="25">
        <f>+SUM('Datos Ing. est. noil'!K18:K21)</f>
        <v>40008.970999999998</v>
      </c>
      <c r="M17" s="26">
        <f t="shared" si="40"/>
        <v>0.99528305408029372</v>
      </c>
      <c r="N17" s="25">
        <f>+SUM('Datos Ing. est. noil'!L18:L21)</f>
        <v>26318.799999999999</v>
      </c>
      <c r="O17" s="26">
        <f t="shared" si="69"/>
        <v>4.0195056532159601E-2</v>
      </c>
      <c r="P17" s="86"/>
      <c r="Q17" s="31" t="s">
        <v>9</v>
      </c>
      <c r="R17" s="233">
        <f t="shared" si="38"/>
        <v>1503.3</v>
      </c>
      <c r="S17" s="234">
        <f t="shared" si="48"/>
        <v>4.3668425437378408E-2</v>
      </c>
      <c r="T17" s="234">
        <f t="shared" si="49"/>
        <v>1.0864128379180114</v>
      </c>
      <c r="U17" s="234">
        <f t="shared" si="50"/>
        <v>1495.5978353786152</v>
      </c>
      <c r="W17" s="1" t="s">
        <v>9</v>
      </c>
      <c r="X17" s="17">
        <f t="shared" si="41"/>
        <v>179</v>
      </c>
      <c r="Y17" s="12">
        <f t="shared" si="51"/>
        <v>0.14743589743589744</v>
      </c>
      <c r="Z17" s="12">
        <f t="shared" si="52"/>
        <v>3.6680106997221333</v>
      </c>
      <c r="AA17" s="12">
        <f t="shared" si="53"/>
        <v>175.92241308817904</v>
      </c>
      <c r="AC17" s="1" t="s">
        <v>9</v>
      </c>
      <c r="AD17" s="17">
        <f t="shared" si="42"/>
        <v>473.7</v>
      </c>
      <c r="AE17" s="12">
        <f t="shared" si="54"/>
        <v>-3.8172588832487329E-2</v>
      </c>
      <c r="AF17" s="12">
        <f t="shared" si="55"/>
        <v>-0.9496836707256745</v>
      </c>
      <c r="AG17" s="40">
        <f t="shared" si="56"/>
        <v>475.83179256619059</v>
      </c>
      <c r="AI17" s="1" t="s">
        <v>9</v>
      </c>
      <c r="AJ17" s="17">
        <f t="shared" si="43"/>
        <v>405.9</v>
      </c>
      <c r="AK17" s="12">
        <f t="shared" si="57"/>
        <v>3.3876719307182918E-2</v>
      </c>
      <c r="AL17" s="12">
        <f t="shared" si="58"/>
        <v>0.84280810203808387</v>
      </c>
      <c r="AM17" s="10">
        <f t="shared" si="59"/>
        <v>404.28575324805598</v>
      </c>
      <c r="AN17" s="126">
        <v>367.80789954016598</v>
      </c>
      <c r="AO17" s="1" t="s">
        <v>9</v>
      </c>
      <c r="AP17" s="17">
        <f t="shared" si="44"/>
        <v>41.699999999999996</v>
      </c>
      <c r="AQ17" s="12">
        <f t="shared" si="60"/>
        <v>0.26747720364741606</v>
      </c>
      <c r="AR17" s="12">
        <f t="shared" si="61"/>
        <v>6.6544800959145469</v>
      </c>
      <c r="AS17" s="12">
        <f t="shared" si="62"/>
        <v>40.408414490840151</v>
      </c>
      <c r="AT17" s="125">
        <v>70.141119243388403</v>
      </c>
      <c r="AU17" s="1" t="s">
        <v>9</v>
      </c>
      <c r="AV17" s="17">
        <f t="shared" si="45"/>
        <v>284.10000000000002</v>
      </c>
      <c r="AW17" s="12">
        <f t="shared" si="63"/>
        <v>0.39881831610044327</v>
      </c>
      <c r="AX17" s="12">
        <f t="shared" si="64"/>
        <v>9.9220737699760004</v>
      </c>
      <c r="AY17" s="12">
        <f t="shared" si="65"/>
        <v>271.07991701882975</v>
      </c>
      <c r="AZ17" s="223">
        <v>298.99943723574501</v>
      </c>
      <c r="BA17" s="1" t="s">
        <v>9</v>
      </c>
      <c r="BB17" s="12">
        <f t="shared" si="46"/>
        <v>2887.7</v>
      </c>
      <c r="BC17" s="12">
        <f t="shared" si="66"/>
        <v>6.2631094756209649E-2</v>
      </c>
      <c r="BD17" s="12">
        <f t="shared" si="67"/>
        <v>1.5581790438856389</v>
      </c>
      <c r="BE17" s="12">
        <f t="shared" si="68"/>
        <v>2866.5038088683732</v>
      </c>
      <c r="BF17" s="126">
        <v>2776.0862955563198</v>
      </c>
      <c r="BH17" s="238" t="s">
        <v>9</v>
      </c>
      <c r="BI17" s="241">
        <f t="shared" si="30"/>
        <v>1495.5978353786152</v>
      </c>
      <c r="BJ17" s="241">
        <f t="shared" si="31"/>
        <v>175.92241308817904</v>
      </c>
      <c r="BK17" s="241">
        <f t="shared" si="32"/>
        <v>475.83179256619059</v>
      </c>
      <c r="BL17" s="245">
        <f t="shared" si="33"/>
        <v>404.28575324805598</v>
      </c>
      <c r="BM17" s="241">
        <f t="shared" si="34"/>
        <v>40.408414490840151</v>
      </c>
      <c r="BN17" s="241">
        <f t="shared" si="35"/>
        <v>271.07991701882975</v>
      </c>
      <c r="BO17" s="241">
        <f t="shared" si="47"/>
        <v>2863.1261257907108</v>
      </c>
      <c r="BP17" s="228">
        <v>2723.2069637480399</v>
      </c>
    </row>
    <row r="18" spans="1:68" ht="15.75" x14ac:dyDescent="0.25">
      <c r="A18" s="1" t="s">
        <v>10</v>
      </c>
      <c r="B18" s="40">
        <f>SUM('Datos Ing. est. noil'!B19:B22)</f>
        <v>1502.7</v>
      </c>
      <c r="C18" s="40">
        <f>SUM('Datos Ing. est. noil'!C19:C22)</f>
        <v>200.60000000000002</v>
      </c>
      <c r="D18" s="40">
        <f>SUM('Datos Ing. est. noil'!D19:D22)</f>
        <v>500.20000000000005</v>
      </c>
      <c r="E18" s="40">
        <f>SUM('Datos Ing. est. noil'!E19:E22)</f>
        <v>421.59999999999997</v>
      </c>
      <c r="F18" s="40">
        <f>SUM('Datos Ing. est. noil'!F19:F22)</f>
        <v>46.899999999999991</v>
      </c>
      <c r="G18" s="40">
        <f>SUM('Datos Ing. est. noil'!G18:G21)</f>
        <v>377.8</v>
      </c>
      <c r="H18" s="40">
        <f t="shared" si="39"/>
        <v>3049.8</v>
      </c>
      <c r="I18" s="183"/>
      <c r="J18" s="31" t="s">
        <v>10</v>
      </c>
      <c r="K18" s="25">
        <v>40207.630801524603</v>
      </c>
      <c r="L18" s="25">
        <f>+SUM('Datos Ing. est. noil'!K19:K22)</f>
        <v>40473.695999999996</v>
      </c>
      <c r="M18" s="26">
        <f t="shared" si="40"/>
        <v>0.99342621937775599</v>
      </c>
      <c r="N18" s="25">
        <f>+SUM('Datos Ing. est. noil'!L19:L22)</f>
        <v>27453.323</v>
      </c>
      <c r="O18" s="26">
        <f t="shared" si="69"/>
        <v>4.3106942565770412E-2</v>
      </c>
      <c r="P18" s="86"/>
      <c r="Q18" s="31" t="s">
        <v>10</v>
      </c>
      <c r="R18" s="233">
        <f t="shared" si="38"/>
        <v>1502.7</v>
      </c>
      <c r="S18" s="234">
        <f t="shared" si="48"/>
        <v>-3.991219317500892E-4</v>
      </c>
      <c r="T18" s="234">
        <f t="shared" si="49"/>
        <v>-9.2588782222522269E-3</v>
      </c>
      <c r="U18" s="234">
        <f t="shared" si="50"/>
        <v>1502.7917678442536</v>
      </c>
      <c r="W18" s="1" t="s">
        <v>10</v>
      </c>
      <c r="X18" s="17">
        <f t="shared" si="41"/>
        <v>200.60000000000002</v>
      </c>
      <c r="Y18" s="12">
        <f t="shared" si="51"/>
        <v>0.12067039106145264</v>
      </c>
      <c r="Z18" s="12">
        <f t="shared" si="52"/>
        <v>2.7993261381815655</v>
      </c>
      <c r="AA18" s="12">
        <f t="shared" si="53"/>
        <v>196.93032133070827</v>
      </c>
      <c r="AC18" s="1" t="s">
        <v>10</v>
      </c>
      <c r="AD18" s="17">
        <f t="shared" si="42"/>
        <v>500.20000000000005</v>
      </c>
      <c r="AE18" s="12">
        <f t="shared" si="54"/>
        <v>5.5942579691788175E-2</v>
      </c>
      <c r="AF18" s="12">
        <f t="shared" si="55"/>
        <v>1.2977626424428916</v>
      </c>
      <c r="AG18" s="40">
        <f t="shared" si="56"/>
        <v>495.93687321986278</v>
      </c>
      <c r="AI18" s="1" t="s">
        <v>10</v>
      </c>
      <c r="AJ18" s="17">
        <f t="shared" si="43"/>
        <v>421.59999999999997</v>
      </c>
      <c r="AK18" s="12">
        <f t="shared" si="57"/>
        <v>3.8679477703867919E-2</v>
      </c>
      <c r="AL18" s="12">
        <f t="shared" si="58"/>
        <v>0.89729114155690148</v>
      </c>
      <c r="AM18" s="10">
        <f t="shared" si="59"/>
        <v>419.11231072048002</v>
      </c>
      <c r="AN18" s="126">
        <v>375.48105552266497</v>
      </c>
      <c r="AO18" s="1" t="s">
        <v>10</v>
      </c>
      <c r="AP18" s="17">
        <f t="shared" si="44"/>
        <v>46.899999999999991</v>
      </c>
      <c r="AQ18" s="12">
        <f t="shared" si="60"/>
        <v>0.12470023980815338</v>
      </c>
      <c r="AR18" s="12">
        <f t="shared" si="61"/>
        <v>2.8928110505144735</v>
      </c>
      <c r="AS18" s="12">
        <f t="shared" si="62"/>
        <v>46.013654486718984</v>
      </c>
      <c r="AT18" s="125">
        <v>59.621479400490998</v>
      </c>
      <c r="AU18" s="1" t="s">
        <v>10</v>
      </c>
      <c r="AV18" s="17">
        <f t="shared" si="45"/>
        <v>377.8</v>
      </c>
      <c r="AW18" s="12">
        <f t="shared" si="63"/>
        <v>0.32981344596972889</v>
      </c>
      <c r="AX18" s="12">
        <f t="shared" si="64"/>
        <v>7.651051694666493</v>
      </c>
      <c r="AY18" s="12">
        <f t="shared" si="65"/>
        <v>359.20834669408396</v>
      </c>
      <c r="AZ18" s="223">
        <v>320.33335424689602</v>
      </c>
      <c r="BA18" s="1" t="s">
        <v>10</v>
      </c>
      <c r="BB18" s="12">
        <f t="shared" si="46"/>
        <v>3049.8</v>
      </c>
      <c r="BC18" s="12">
        <f t="shared" si="66"/>
        <v>5.6134640024933402E-2</v>
      </c>
      <c r="BD18" s="12">
        <f t="shared" si="67"/>
        <v>1.302218080980482</v>
      </c>
      <c r="BE18" s="12">
        <f t="shared" si="68"/>
        <v>3023.7181734894348</v>
      </c>
      <c r="BF18" s="126">
        <v>2888.26821512788</v>
      </c>
      <c r="BH18" s="238" t="s">
        <v>10</v>
      </c>
      <c r="BI18" s="241">
        <f t="shared" si="30"/>
        <v>1502.7917678442536</v>
      </c>
      <c r="BJ18" s="241">
        <f t="shared" si="31"/>
        <v>196.93032133070827</v>
      </c>
      <c r="BK18" s="241">
        <f t="shared" si="32"/>
        <v>495.93687321986278</v>
      </c>
      <c r="BL18" s="245">
        <f t="shared" si="33"/>
        <v>419.11231072048002</v>
      </c>
      <c r="BM18" s="241">
        <f t="shared" si="34"/>
        <v>46.013654486718984</v>
      </c>
      <c r="BN18" s="241">
        <f t="shared" si="35"/>
        <v>359.20834669408396</v>
      </c>
      <c r="BO18" s="241">
        <f t="shared" si="47"/>
        <v>3019.9932742961078</v>
      </c>
      <c r="BP18" s="228">
        <v>2842.53226966487</v>
      </c>
    </row>
    <row r="19" spans="1:68" x14ac:dyDescent="0.25">
      <c r="A19" s="1" t="s">
        <v>11</v>
      </c>
      <c r="B19" s="40">
        <f>SUM('Datos Ing. est. noil'!B20:B23)</f>
        <v>1529</v>
      </c>
      <c r="C19" s="40">
        <f>SUM('Datos Ing. est. noil'!C20:C23)</f>
        <v>220.10000000000002</v>
      </c>
      <c r="D19" s="40">
        <f>SUM('Datos Ing. est. noil'!D20:D23)</f>
        <v>531.4</v>
      </c>
      <c r="E19" s="40">
        <f>SUM('Datos Ing. est. noil'!E20:E23)</f>
        <v>421.3</v>
      </c>
      <c r="F19" s="40">
        <f>SUM('Datos Ing. est. noil'!F20:F23)</f>
        <v>46.699999999999996</v>
      </c>
      <c r="G19" s="40">
        <f>SUM('Datos Ing. est. noil'!G19:G22)</f>
        <v>428.90000000000003</v>
      </c>
      <c r="H19" s="40">
        <f t="shared" si="39"/>
        <v>3177.4</v>
      </c>
      <c r="J19" s="31" t="s">
        <v>11</v>
      </c>
      <c r="K19" s="25">
        <v>40618.061160430698</v>
      </c>
      <c r="L19" s="25">
        <f>+SUM('Datos Ing. est. noil'!K20:K23)</f>
        <v>40848.993999999999</v>
      </c>
      <c r="M19" s="26">
        <f t="shared" si="40"/>
        <v>0.99434667009010547</v>
      </c>
      <c r="N19" s="25">
        <f>+SUM('Datos Ing. est. noil'!L20:L23)</f>
        <v>28548.945</v>
      </c>
      <c r="O19" s="26">
        <f t="shared" si="69"/>
        <v>3.9908538576550523E-2</v>
      </c>
      <c r="P19" s="86"/>
      <c r="Q19" s="31" t="s">
        <v>11</v>
      </c>
      <c r="R19" s="233">
        <f t="shared" si="38"/>
        <v>1529</v>
      </c>
      <c r="S19" s="234">
        <f t="shared" si="48"/>
        <v>1.7501830039262631E-2</v>
      </c>
      <c r="T19" s="234">
        <f t="shared" si="49"/>
        <v>0.43854850775082915</v>
      </c>
      <c r="U19" s="234">
        <f t="shared" si="50"/>
        <v>1525.2031785036527</v>
      </c>
      <c r="W19" s="1" t="s">
        <v>11</v>
      </c>
      <c r="X19" s="17">
        <f t="shared" si="41"/>
        <v>220.10000000000002</v>
      </c>
      <c r="Y19" s="12">
        <f t="shared" si="51"/>
        <v>9.7208374875373871E-2</v>
      </c>
      <c r="Z19" s="12">
        <f t="shared" si="52"/>
        <v>2.4357788669438176</v>
      </c>
      <c r="AA19" s="12">
        <f t="shared" si="53"/>
        <v>217.08145586807569</v>
      </c>
      <c r="AC19" s="1" t="s">
        <v>11</v>
      </c>
      <c r="AD19" s="17">
        <f t="shared" si="42"/>
        <v>531.4</v>
      </c>
      <c r="AE19" s="12">
        <f t="shared" si="54"/>
        <v>6.2375049980007854E-2</v>
      </c>
      <c r="AF19" s="12">
        <f t="shared" si="55"/>
        <v>1.5629499902724631</v>
      </c>
      <c r="AG19" s="40">
        <f t="shared" si="56"/>
        <v>526.71209544956321</v>
      </c>
      <c r="AI19" s="1" t="s">
        <v>11</v>
      </c>
      <c r="AJ19" s="17">
        <f t="shared" si="43"/>
        <v>421.3</v>
      </c>
      <c r="AK19" s="12">
        <f t="shared" si="57"/>
        <v>-7.1157495256156205E-4</v>
      </c>
      <c r="AL19" s="12">
        <f t="shared" si="58"/>
        <v>-1.7830143070677852E-2</v>
      </c>
      <c r="AM19" s="10">
        <f t="shared" si="59"/>
        <v>421.3425895522733</v>
      </c>
      <c r="AN19" s="126">
        <v>382.25797867311502</v>
      </c>
      <c r="AO19" s="1" t="s">
        <v>11</v>
      </c>
      <c r="AP19" s="17">
        <f t="shared" si="44"/>
        <v>46.699999999999996</v>
      </c>
      <c r="AQ19" s="12">
        <f t="shared" si="60"/>
        <v>-4.2643923240937263E-3</v>
      </c>
      <c r="AR19" s="12">
        <f t="shared" si="61"/>
        <v>-0.10685413388200088</v>
      </c>
      <c r="AS19" s="12">
        <f t="shared" si="62"/>
        <v>46.728299228721184</v>
      </c>
      <c r="AT19" s="125">
        <v>52.711798166029197</v>
      </c>
      <c r="AU19" s="1" t="s">
        <v>11</v>
      </c>
      <c r="AV19" s="17">
        <f t="shared" si="45"/>
        <v>428.90000000000003</v>
      </c>
      <c r="AW19" s="12">
        <f t="shared" si="63"/>
        <v>0.13525674960296458</v>
      </c>
      <c r="AX19" s="12">
        <f t="shared" si="64"/>
        <v>3.3891681937568818</v>
      </c>
      <c r="AY19" s="12">
        <f t="shared" si="65"/>
        <v>420.73759159228052</v>
      </c>
      <c r="AZ19" s="223">
        <v>340.320616340036</v>
      </c>
      <c r="BA19" s="1" t="s">
        <v>11</v>
      </c>
      <c r="BB19" s="12">
        <f t="shared" si="46"/>
        <v>3177.4</v>
      </c>
      <c r="BC19" s="12">
        <f t="shared" si="66"/>
        <v>4.1838809102236141E-2</v>
      </c>
      <c r="BD19" s="12">
        <f t="shared" si="67"/>
        <v>1.0483673568247325</v>
      </c>
      <c r="BE19" s="12">
        <f t="shared" si="68"/>
        <v>3158.5708712812375</v>
      </c>
      <c r="BF19" s="126">
        <v>2986.08269726242</v>
      </c>
      <c r="BH19" s="238" t="s">
        <v>11</v>
      </c>
      <c r="BI19" s="241">
        <f t="shared" si="30"/>
        <v>1525.2031785036527</v>
      </c>
      <c r="BJ19" s="241">
        <f t="shared" si="31"/>
        <v>217.08145586807569</v>
      </c>
      <c r="BK19" s="241">
        <f t="shared" si="32"/>
        <v>526.71209544956321</v>
      </c>
      <c r="BL19" s="245">
        <f t="shared" si="33"/>
        <v>421.3425895522733</v>
      </c>
      <c r="BM19" s="241">
        <f t="shared" si="34"/>
        <v>46.728299228721184</v>
      </c>
      <c r="BN19" s="241">
        <f t="shared" si="35"/>
        <v>420.73759159228052</v>
      </c>
      <c r="BO19" s="241">
        <f t="shared" si="47"/>
        <v>3157.8052101945659</v>
      </c>
      <c r="BP19" s="228">
        <v>2948.5597103702498</v>
      </c>
    </row>
    <row r="20" spans="1:68" x14ac:dyDescent="0.25">
      <c r="A20" s="1" t="s">
        <v>12</v>
      </c>
      <c r="B20" s="40">
        <f>SUM('Datos Ing. est. noil'!B21:B24)</f>
        <v>1547.3</v>
      </c>
      <c r="C20" s="40">
        <f>SUM('Datos Ing. est. noil'!C21:C24)</f>
        <v>212.5</v>
      </c>
      <c r="D20" s="40">
        <f>SUM('Datos Ing. est. noil'!D21:D24)</f>
        <v>553.49999999999989</v>
      </c>
      <c r="E20" s="40">
        <f>SUM('Datos Ing. est. noil'!E21:E24)</f>
        <v>406.9</v>
      </c>
      <c r="F20" s="40">
        <f>SUM('Datos Ing. est. noil'!F21:F24)</f>
        <v>46.1</v>
      </c>
      <c r="G20" s="40">
        <f>SUM('Datos Ing. est. noil'!G20:G23)</f>
        <v>481.70000000000005</v>
      </c>
      <c r="H20" s="40">
        <f t="shared" si="39"/>
        <v>3248</v>
      </c>
      <c r="J20" s="31" t="s">
        <v>12</v>
      </c>
      <c r="K20" s="25">
        <v>41054.824645744899</v>
      </c>
      <c r="L20" s="25">
        <f>+SUM('Datos Ing. est. noil'!K21:K24)</f>
        <v>41225.516000000003</v>
      </c>
      <c r="M20" s="26">
        <f t="shared" si="40"/>
        <v>0.9958595702172629</v>
      </c>
      <c r="N20" s="25">
        <f>+SUM('Datos Ing. est. noil'!L21:L24)</f>
        <v>29822.823</v>
      </c>
      <c r="O20" s="26">
        <f t="shared" si="69"/>
        <v>4.4620843257080045E-2</v>
      </c>
      <c r="P20" s="86"/>
      <c r="Q20" s="31" t="s">
        <v>12</v>
      </c>
      <c r="R20" s="233">
        <f t="shared" si="38"/>
        <v>1547.3</v>
      </c>
      <c r="S20" s="234">
        <f t="shared" si="48"/>
        <v>1.196860693263568E-2</v>
      </c>
      <c r="T20" s="234">
        <f t="shared" si="49"/>
        <v>0.26822906200313923</v>
      </c>
      <c r="U20" s="234">
        <f t="shared" si="50"/>
        <v>1545.5789845079019</v>
      </c>
      <c r="W20" s="1" t="s">
        <v>12</v>
      </c>
      <c r="X20" s="17">
        <f t="shared" si="41"/>
        <v>212.5</v>
      </c>
      <c r="Y20" s="12">
        <f t="shared" si="51"/>
        <v>-3.4529759200363573E-2</v>
      </c>
      <c r="Z20" s="12">
        <f t="shared" si="52"/>
        <v>-0.7738481991795324</v>
      </c>
      <c r="AA20" s="12">
        <f t="shared" si="53"/>
        <v>213.18337353672112</v>
      </c>
      <c r="AC20" s="1" t="s">
        <v>12</v>
      </c>
      <c r="AD20" s="17">
        <f t="shared" si="42"/>
        <v>553.49999999999989</v>
      </c>
      <c r="AE20" s="12">
        <f t="shared" si="54"/>
        <v>4.1588257433195164E-2</v>
      </c>
      <c r="AF20" s="12">
        <f t="shared" si="55"/>
        <v>0.93203656402428703</v>
      </c>
      <c r="AG20" s="40">
        <f t="shared" si="56"/>
        <v>551.3637248434552</v>
      </c>
      <c r="AI20" s="1" t="s">
        <v>12</v>
      </c>
      <c r="AJ20" s="17">
        <f t="shared" si="43"/>
        <v>406.9</v>
      </c>
      <c r="AK20" s="12">
        <f t="shared" si="57"/>
        <v>-3.4179919297412847E-2</v>
      </c>
      <c r="AL20" s="12">
        <f t="shared" si="58"/>
        <v>-0.7660079192248227</v>
      </c>
      <c r="AM20" s="10">
        <f t="shared" si="59"/>
        <v>408.19526111630603</v>
      </c>
      <c r="AN20" s="126">
        <v>388.29177274440599</v>
      </c>
      <c r="AO20" s="1" t="s">
        <v>12</v>
      </c>
      <c r="AP20" s="17">
        <f t="shared" si="44"/>
        <v>46.1</v>
      </c>
      <c r="AQ20" s="12">
        <f t="shared" si="60"/>
        <v>-1.284796573875791E-2</v>
      </c>
      <c r="AR20" s="12">
        <f t="shared" si="61"/>
        <v>-0.28793641717470919</v>
      </c>
      <c r="AS20" s="12">
        <f t="shared" si="62"/>
        <v>46.155106525002523</v>
      </c>
      <c r="AT20" s="125">
        <v>48.932535207517198</v>
      </c>
      <c r="AU20" s="1" t="s">
        <v>12</v>
      </c>
      <c r="AV20" s="17">
        <f t="shared" si="45"/>
        <v>481.70000000000005</v>
      </c>
      <c r="AW20" s="12">
        <f t="shared" si="63"/>
        <v>0.12310561902541386</v>
      </c>
      <c r="AX20" s="12">
        <f t="shared" si="64"/>
        <v>2.7589263232016696</v>
      </c>
      <c r="AY20" s="12">
        <f t="shared" si="65"/>
        <v>476.2174887808111</v>
      </c>
      <c r="AZ20" s="223">
        <v>357.50053159868497</v>
      </c>
      <c r="BA20" s="1" t="s">
        <v>12</v>
      </c>
      <c r="BB20" s="12">
        <f t="shared" si="46"/>
        <v>3248</v>
      </c>
      <c r="BC20" s="12">
        <f t="shared" si="66"/>
        <v>2.2219424686850786E-2</v>
      </c>
      <c r="BD20" s="12">
        <f t="shared" si="67"/>
        <v>0.49796066288651331</v>
      </c>
      <c r="BE20" s="12">
        <f t="shared" si="68"/>
        <v>3241.29639280231</v>
      </c>
      <c r="BF20" s="126">
        <v>3070.8513375672801</v>
      </c>
      <c r="BH20" s="238" t="s">
        <v>12</v>
      </c>
      <c r="BI20" s="241">
        <f t="shared" si="30"/>
        <v>1545.5789845079019</v>
      </c>
      <c r="BJ20" s="241">
        <f t="shared" si="31"/>
        <v>213.18337353672112</v>
      </c>
      <c r="BK20" s="241">
        <f t="shared" si="32"/>
        <v>551.3637248434552</v>
      </c>
      <c r="BL20" s="245">
        <f t="shared" si="33"/>
        <v>408.19526111630603</v>
      </c>
      <c r="BM20" s="241">
        <f t="shared" si="34"/>
        <v>46.155106525002523</v>
      </c>
      <c r="BN20" s="241">
        <f t="shared" si="35"/>
        <v>476.2174887808111</v>
      </c>
      <c r="BO20" s="241">
        <f t="shared" si="47"/>
        <v>3240.6939393101975</v>
      </c>
      <c r="BP20" s="228">
        <v>3041.5677728529799</v>
      </c>
    </row>
    <row r="21" spans="1:68" x14ac:dyDescent="0.25">
      <c r="A21" s="1" t="s">
        <v>13</v>
      </c>
      <c r="B21" s="40">
        <f>SUM('Datos Ing. est. noil'!B22:B25)</f>
        <v>1543</v>
      </c>
      <c r="C21" s="40">
        <f>SUM('Datos Ing. est. noil'!C22:C25)</f>
        <v>201.5</v>
      </c>
      <c r="D21" s="40">
        <f>SUM('Datos Ing. est. noil'!D22:D25)</f>
        <v>571.29999999999995</v>
      </c>
      <c r="E21" s="40">
        <f>SUM('Datos Ing. est. noil'!E22:E25)</f>
        <v>398.3</v>
      </c>
      <c r="F21" s="40">
        <f>SUM('Datos Ing. est. noil'!F22:F25)</f>
        <v>46.1</v>
      </c>
      <c r="G21" s="40">
        <f>SUM('Datos Ing. est. noil'!G21:G24)</f>
        <v>429.79999999999995</v>
      </c>
      <c r="H21" s="40">
        <f t="shared" si="39"/>
        <v>3190</v>
      </c>
      <c r="J21" s="31" t="s">
        <v>13</v>
      </c>
      <c r="K21" s="25">
        <v>41523.513367399602</v>
      </c>
      <c r="L21" s="25">
        <f>+SUM('Datos Ing. est. noil'!K22:K25)</f>
        <v>41260.489000000001</v>
      </c>
      <c r="M21" s="26">
        <f t="shared" si="40"/>
        <v>1.0063747273426547</v>
      </c>
      <c r="N21" s="25">
        <f>+SUM('Datos Ing. est. noil'!L22:L25)</f>
        <v>30701.273999999998</v>
      </c>
      <c r="O21" s="26">
        <f t="shared" si="69"/>
        <v>2.9455662195359444E-2</v>
      </c>
      <c r="P21" s="86"/>
      <c r="Q21" s="31" t="s">
        <v>13</v>
      </c>
      <c r="R21" s="233">
        <f t="shared" si="38"/>
        <v>1543</v>
      </c>
      <c r="S21" s="234">
        <f t="shared" si="48"/>
        <v>-2.779034447101373E-3</v>
      </c>
      <c r="T21" s="234">
        <f t="shared" si="49"/>
        <v>-9.4346357880869244E-2</v>
      </c>
      <c r="U21" s="234">
        <f t="shared" si="50"/>
        <v>1542.0752125882091</v>
      </c>
      <c r="W21" s="1" t="s">
        <v>13</v>
      </c>
      <c r="X21" s="17">
        <f t="shared" si="41"/>
        <v>201.5</v>
      </c>
      <c r="Y21" s="12">
        <f t="shared" si="51"/>
        <v>-5.1764705882352942E-2</v>
      </c>
      <c r="Z21" s="12">
        <f t="shared" si="52"/>
        <v>-1.7573770889628191</v>
      </c>
      <c r="AA21" s="12">
        <f t="shared" si="53"/>
        <v>199.26231807651703</v>
      </c>
      <c r="AC21" s="1" t="s">
        <v>13</v>
      </c>
      <c r="AD21" s="17">
        <f t="shared" si="42"/>
        <v>571.29999999999995</v>
      </c>
      <c r="AE21" s="12">
        <f t="shared" si="54"/>
        <v>3.2158988256549365E-2</v>
      </c>
      <c r="AF21" s="12">
        <f t="shared" si="55"/>
        <v>1.0917761088941267</v>
      </c>
      <c r="AG21" s="40">
        <f t="shared" si="56"/>
        <v>575.27728033700885</v>
      </c>
      <c r="AI21" s="1" t="s">
        <v>13</v>
      </c>
      <c r="AJ21" s="17">
        <f t="shared" si="43"/>
        <v>398.3</v>
      </c>
      <c r="AK21" s="12">
        <f t="shared" si="57"/>
        <v>-2.113541410666003E-2</v>
      </c>
      <c r="AL21" s="12">
        <f t="shared" si="58"/>
        <v>-0.71753315089245495</v>
      </c>
      <c r="AM21" s="10">
        <f t="shared" si="59"/>
        <v>396.48806097106245</v>
      </c>
      <c r="AN21" s="126">
        <v>394.12596170269597</v>
      </c>
      <c r="AO21" s="1" t="s">
        <v>13</v>
      </c>
      <c r="AP21" s="17">
        <f t="shared" si="44"/>
        <v>46.1</v>
      </c>
      <c r="AQ21" s="12">
        <f t="shared" si="60"/>
        <v>0</v>
      </c>
      <c r="AR21" s="12">
        <f t="shared" si="61"/>
        <v>0</v>
      </c>
      <c r="AS21" s="12">
        <f t="shared" si="62"/>
        <v>46.1</v>
      </c>
      <c r="AT21" s="125">
        <v>47.744032210809003</v>
      </c>
      <c r="AU21" s="1" t="s">
        <v>13</v>
      </c>
      <c r="AV21" s="17">
        <f t="shared" si="45"/>
        <v>429.79999999999995</v>
      </c>
      <c r="AW21" s="12">
        <f t="shared" si="63"/>
        <v>-0.10774340876063958</v>
      </c>
      <c r="AX21" s="12">
        <f t="shared" si="64"/>
        <v>-3.6578165530976885</v>
      </c>
      <c r="AY21" s="12">
        <f t="shared" si="65"/>
        <v>419.92511941684421</v>
      </c>
      <c r="AZ21" s="223">
        <v>371.29820194296201</v>
      </c>
      <c r="BA21" s="1" t="s">
        <v>13</v>
      </c>
      <c r="BB21" s="12">
        <f t="shared" si="46"/>
        <v>3190</v>
      </c>
      <c r="BC21" s="12">
        <f t="shared" si="66"/>
        <v>-1.7857142857142905E-2</v>
      </c>
      <c r="BD21" s="12">
        <f t="shared" si="67"/>
        <v>-0.60623803799448062</v>
      </c>
      <c r="BE21" s="12">
        <f t="shared" si="68"/>
        <v>3177.7346870952133</v>
      </c>
      <c r="BF21" s="126">
        <v>3145.8089046772202</v>
      </c>
      <c r="BH21" s="238" t="s">
        <v>13</v>
      </c>
      <c r="BI21" s="241">
        <f t="shared" si="30"/>
        <v>1542.0752125882091</v>
      </c>
      <c r="BJ21" s="241">
        <f t="shared" si="31"/>
        <v>199.26231807651703</v>
      </c>
      <c r="BK21" s="241">
        <f t="shared" si="32"/>
        <v>575.27728033700885</v>
      </c>
      <c r="BL21" s="245">
        <f t="shared" si="33"/>
        <v>396.48806097106245</v>
      </c>
      <c r="BM21" s="241">
        <f t="shared" si="34"/>
        <v>46.1</v>
      </c>
      <c r="BN21" s="241">
        <f t="shared" si="35"/>
        <v>419.92511941684421</v>
      </c>
      <c r="BO21" s="241">
        <f t="shared" si="47"/>
        <v>3179.1279913896415</v>
      </c>
      <c r="BP21" s="228">
        <v>3124.1233469981198</v>
      </c>
    </row>
    <row r="22" spans="1:68" x14ac:dyDescent="0.25">
      <c r="A22" s="1" t="s">
        <v>14</v>
      </c>
      <c r="B22" s="40">
        <f>SUM('Datos Ing. est. noil'!B23:B26)</f>
        <v>1548.0310399999998</v>
      </c>
      <c r="C22" s="40">
        <f>SUM('Datos Ing. est. noil'!C23:C26)</f>
        <v>192.32380000000001</v>
      </c>
      <c r="D22" s="40">
        <f>SUM('Datos Ing. est. noil'!D23:D26)</f>
        <v>586.96608412064256</v>
      </c>
      <c r="E22" s="40">
        <f>SUM('Datos Ing. est. noil'!E23:E26)</f>
        <v>385.2</v>
      </c>
      <c r="F22" s="40">
        <f>SUM('Datos Ing. est. noil'!F23:F26)</f>
        <v>46.8</v>
      </c>
      <c r="G22" s="40">
        <f>SUM('Datos Ing. est. noil'!G22:G25)</f>
        <v>397</v>
      </c>
      <c r="H22" s="40">
        <f t="shared" si="39"/>
        <v>3156.3209241206423</v>
      </c>
      <c r="J22" s="31" t="s">
        <v>14</v>
      </c>
      <c r="K22" s="25">
        <v>42031.4261888697</v>
      </c>
      <c r="L22" s="25">
        <f>+SUM('Datos Ing. est. noil'!K23:K26)</f>
        <v>41450.661999999997</v>
      </c>
      <c r="M22" s="26">
        <f t="shared" si="40"/>
        <v>1.0140109749964838</v>
      </c>
      <c r="N22" s="25">
        <f>+SUM('Datos Ing. est. noil'!L23:L26)</f>
        <v>31527.607</v>
      </c>
      <c r="O22" s="26">
        <f>(N22/N21)-1</f>
        <v>2.6915267425058786E-2</v>
      </c>
      <c r="P22" s="86"/>
      <c r="Q22" s="31" t="s">
        <v>14</v>
      </c>
      <c r="R22" s="233">
        <f t="shared" si="38"/>
        <v>1548.0310399999998</v>
      </c>
      <c r="S22" s="234">
        <f t="shared" si="48"/>
        <v>3.2605573558002906E-3</v>
      </c>
      <c r="T22" s="234">
        <f t="shared" si="49"/>
        <v>0.12114155524847693</v>
      </c>
      <c r="U22" s="234">
        <f t="shared" si="50"/>
        <v>1550.6424940971158</v>
      </c>
      <c r="W22" s="1" t="s">
        <v>14</v>
      </c>
      <c r="X22" s="17">
        <f t="shared" si="41"/>
        <v>192.32380000000001</v>
      </c>
      <c r="Y22" s="12">
        <f t="shared" si="51"/>
        <v>-4.5539454094292775E-2</v>
      </c>
      <c r="Z22" s="12">
        <f t="shared" si="52"/>
        <v>-1.6919562185696289</v>
      </c>
      <c r="AA22" s="12">
        <f t="shared" si="53"/>
        <v>187.84910175519533</v>
      </c>
      <c r="AC22" s="1" t="s">
        <v>14</v>
      </c>
      <c r="AD22" s="17">
        <f t="shared" si="42"/>
        <v>586.96608412064256</v>
      </c>
      <c r="AE22" s="12">
        <f t="shared" si="54"/>
        <v>2.7421817119976561E-2</v>
      </c>
      <c r="AF22" s="12">
        <f t="shared" si="55"/>
        <v>1.0188201620633413</v>
      </c>
      <c r="AG22" s="40">
        <f t="shared" si="56"/>
        <v>595.34592730637064</v>
      </c>
      <c r="AI22" s="1" t="s">
        <v>14</v>
      </c>
      <c r="AJ22" s="17">
        <f t="shared" si="43"/>
        <v>385.2</v>
      </c>
      <c r="AK22" s="12">
        <f t="shared" si="57"/>
        <v>-3.2889781571679697E-2</v>
      </c>
      <c r="AL22" s="12">
        <f t="shared" si="58"/>
        <v>-1.2219749130583963</v>
      </c>
      <c r="AM22" s="10">
        <f t="shared" si="59"/>
        <v>378.70610383974139</v>
      </c>
      <c r="AN22" s="126">
        <v>400.49015178669799</v>
      </c>
      <c r="AO22" s="1" t="s">
        <v>14</v>
      </c>
      <c r="AP22" s="17">
        <f t="shared" si="44"/>
        <v>46.8</v>
      </c>
      <c r="AQ22" s="12">
        <f t="shared" si="60"/>
        <v>1.5184381778741773E-2</v>
      </c>
      <c r="AR22" s="12">
        <f t="shared" si="61"/>
        <v>0.56415496598799286</v>
      </c>
      <c r="AS22" s="12">
        <f t="shared" si="62"/>
        <v>47.168802118924262</v>
      </c>
      <c r="AT22" s="125">
        <v>48.578305509683503</v>
      </c>
      <c r="AU22" s="1" t="s">
        <v>14</v>
      </c>
      <c r="AV22" s="17">
        <f t="shared" si="45"/>
        <v>397</v>
      </c>
      <c r="AW22" s="12">
        <f t="shared" si="63"/>
        <v>-7.6314564913913349E-2</v>
      </c>
      <c r="AX22" s="12">
        <f t="shared" si="64"/>
        <v>-2.8353634280766085</v>
      </c>
      <c r="AY22" s="12">
        <f t="shared" si="65"/>
        <v>381.64307131533081</v>
      </c>
      <c r="AZ22" s="223">
        <v>382.38072397700199</v>
      </c>
      <c r="BA22" s="1" t="s">
        <v>14</v>
      </c>
      <c r="BB22" s="12">
        <f t="shared" si="46"/>
        <v>3156.3209241206423</v>
      </c>
      <c r="BC22" s="12">
        <f t="shared" si="66"/>
        <v>-1.0557704037416182E-2</v>
      </c>
      <c r="BD22" s="12">
        <f t="shared" si="67"/>
        <v>-0.39225707367806778</v>
      </c>
      <c r="BE22" s="12">
        <f t="shared" si="68"/>
        <v>3139.1414103691072</v>
      </c>
      <c r="BF22" s="126">
        <v>3215.9616538512901</v>
      </c>
      <c r="BH22" s="238" t="s">
        <v>14</v>
      </c>
      <c r="BI22" s="241">
        <f t="shared" si="30"/>
        <v>1550.6424940971158</v>
      </c>
      <c r="BJ22" s="241">
        <f t="shared" si="31"/>
        <v>187.84910175519533</v>
      </c>
      <c r="BK22" s="241">
        <f t="shared" si="32"/>
        <v>595.34592730637064</v>
      </c>
      <c r="BL22" s="245">
        <f t="shared" si="33"/>
        <v>378.70610383974139</v>
      </c>
      <c r="BM22" s="241">
        <f t="shared" si="34"/>
        <v>47.168802118924262</v>
      </c>
      <c r="BN22" s="241">
        <f t="shared" si="35"/>
        <v>381.64307131533081</v>
      </c>
      <c r="BO22" s="241">
        <f>+SUM(BI22:BN22)</f>
        <v>3141.3555004326781</v>
      </c>
      <c r="BP22" s="228">
        <v>3200.8576449622201</v>
      </c>
    </row>
    <row r="23" spans="1:68" x14ac:dyDescent="0.25">
      <c r="A23" s="1" t="s">
        <v>15</v>
      </c>
      <c r="B23" s="40">
        <f>SUM('Datos Ing. est. noil'!B24:B27)</f>
        <v>1583.20947</v>
      </c>
      <c r="C23" s="40">
        <f>SUM('Datos Ing. est. noil'!C24:C27)</f>
        <v>180.44690000000003</v>
      </c>
      <c r="D23" s="40">
        <f>SUM('Datos Ing. est. noil'!D24:D27)</f>
        <v>591.81631208094473</v>
      </c>
      <c r="E23" s="40">
        <f>SUM('Datos Ing. est. noil'!E24:E27)</f>
        <v>382.09999999999997</v>
      </c>
      <c r="F23" s="40">
        <f>SUM('Datos Ing. est. noil'!F24:F27)</f>
        <v>52</v>
      </c>
      <c r="G23" s="40">
        <f>SUM('Datos Ing. est. noil'!G23:G26)</f>
        <v>419.29999999999995</v>
      </c>
      <c r="H23" s="40">
        <f t="shared" si="39"/>
        <v>3208.8726820809443</v>
      </c>
      <c r="J23" s="31" t="s">
        <v>15</v>
      </c>
      <c r="K23" s="25">
        <v>42583.231839956097</v>
      </c>
      <c r="L23" s="25">
        <f>+SUM('Datos Ing. est. noil'!K24:K27)</f>
        <v>41961.262000000002</v>
      </c>
      <c r="M23" s="26">
        <f t="shared" si="40"/>
        <v>1.0148224769778396</v>
      </c>
      <c r="N23" s="25">
        <f>+SUM('Datos Ing. est. noil'!L24:L27)</f>
        <v>32432.858999999997</v>
      </c>
      <c r="O23" s="26">
        <f t="shared" si="69"/>
        <v>2.8712994297346972E-2</v>
      </c>
      <c r="P23" s="86"/>
      <c r="Q23" s="31" t="s">
        <v>15</v>
      </c>
      <c r="R23" s="233">
        <f t="shared" si="38"/>
        <v>1583.20947</v>
      </c>
      <c r="S23" s="234">
        <f t="shared" si="48"/>
        <v>2.2724628312362629E-2</v>
      </c>
      <c r="T23" s="234">
        <f t="shared" si="49"/>
        <v>0.79144056091921922</v>
      </c>
      <c r="U23" s="234">
        <f t="shared" si="50"/>
        <v>1601.7537359950832</v>
      </c>
      <c r="W23" s="1" t="s">
        <v>15</v>
      </c>
      <c r="X23" s="17">
        <f t="shared" si="41"/>
        <v>180.44690000000003</v>
      </c>
      <c r="Y23" s="12">
        <f t="shared" si="51"/>
        <v>-6.1754707425705907E-2</v>
      </c>
      <c r="Z23" s="12">
        <f t="shared" si="52"/>
        <v>-2.1507581823819724</v>
      </c>
      <c r="AA23" s="12">
        <f t="shared" si="53"/>
        <v>174.82595671933615</v>
      </c>
      <c r="AC23" s="1" t="s">
        <v>15</v>
      </c>
      <c r="AD23" s="17">
        <f t="shared" si="42"/>
        <v>591.81631208094473</v>
      </c>
      <c r="AE23" s="12">
        <f t="shared" si="54"/>
        <v>8.2632167198697423E-3</v>
      </c>
      <c r="AF23" s="12">
        <f t="shared" si="55"/>
        <v>0.28778665973660744</v>
      </c>
      <c r="AG23" s="40">
        <f t="shared" si="56"/>
        <v>594.32761575422535</v>
      </c>
      <c r="AI23" s="1" t="s">
        <v>15</v>
      </c>
      <c r="AJ23" s="17">
        <f t="shared" si="43"/>
        <v>382.09999999999997</v>
      </c>
      <c r="AK23" s="12">
        <f t="shared" si="57"/>
        <v>-8.0477673935618454E-3</v>
      </c>
      <c r="AL23" s="12">
        <f t="shared" si="58"/>
        <v>-0.28028311189771821</v>
      </c>
      <c r="AM23" s="10">
        <f t="shared" si="59"/>
        <v>380.52746402807963</v>
      </c>
      <c r="AN23" s="126">
        <v>408.15568961810197</v>
      </c>
      <c r="AO23" s="1" t="s">
        <v>15</v>
      </c>
      <c r="AP23" s="17">
        <f t="shared" si="44"/>
        <v>52</v>
      </c>
      <c r="AQ23" s="12">
        <f t="shared" si="60"/>
        <v>0.11111111111111117</v>
      </c>
      <c r="AR23" s="12">
        <f t="shared" si="61"/>
        <v>3.8697152223297602</v>
      </c>
      <c r="AS23" s="12">
        <f t="shared" si="62"/>
        <v>55.046679222932994</v>
      </c>
      <c r="AT23" s="125">
        <v>50.850931115811399</v>
      </c>
      <c r="AU23" s="1" t="s">
        <v>15</v>
      </c>
      <c r="AV23" s="17">
        <f t="shared" si="45"/>
        <v>419.29999999999995</v>
      </c>
      <c r="AW23" s="12">
        <f t="shared" si="63"/>
        <v>5.6171284634760593E-2</v>
      </c>
      <c r="AX23" s="12">
        <f t="shared" si="64"/>
        <v>1.9563018768805565</v>
      </c>
      <c r="AY23" s="12">
        <f t="shared" si="65"/>
        <v>431.54469622891702</v>
      </c>
      <c r="AZ23" s="223">
        <v>392.000212285506</v>
      </c>
      <c r="BA23" s="1" t="s">
        <v>15</v>
      </c>
      <c r="BB23" s="12">
        <f t="shared" si="46"/>
        <v>3208.8726820809443</v>
      </c>
      <c r="BC23" s="12">
        <f t="shared" si="66"/>
        <v>1.6649687792740231E-2</v>
      </c>
      <c r="BD23" s="12">
        <f t="shared" si="67"/>
        <v>0.57986595268744334</v>
      </c>
      <c r="BE23" s="12">
        <f t="shared" si="68"/>
        <v>3236.3678220645015</v>
      </c>
      <c r="BF23" s="126">
        <v>3286.75775130177</v>
      </c>
      <c r="BH23" s="238" t="s">
        <v>15</v>
      </c>
      <c r="BI23" s="241">
        <f t="shared" si="30"/>
        <v>1601.7537359950832</v>
      </c>
      <c r="BJ23" s="241">
        <f t="shared" si="31"/>
        <v>174.82595671933615</v>
      </c>
      <c r="BK23" s="241">
        <f t="shared" si="32"/>
        <v>594.32761575422535</v>
      </c>
      <c r="BL23" s="245">
        <f t="shared" si="33"/>
        <v>380.52746402807963</v>
      </c>
      <c r="BM23" s="241">
        <f t="shared" si="34"/>
        <v>55.046679222932994</v>
      </c>
      <c r="BN23" s="241">
        <f t="shared" si="35"/>
        <v>431.54469622891702</v>
      </c>
      <c r="BO23" s="241">
        <f t="shared" ref="BO23:BO60" si="70">+SUM(BI23:BN23)</f>
        <v>3238.0261479485744</v>
      </c>
      <c r="BP23" s="228">
        <v>3277.0606454318499</v>
      </c>
    </row>
    <row r="24" spans="1:68" x14ac:dyDescent="0.25">
      <c r="A24" s="1" t="s">
        <v>16</v>
      </c>
      <c r="B24" s="40">
        <f>SUM('Datos Ing. est. noil'!B25:B28)</f>
        <v>1602.64327</v>
      </c>
      <c r="C24" s="40">
        <f>SUM('Datos Ing. est. noil'!C25:C28)</f>
        <v>183.23316555384611</v>
      </c>
      <c r="D24" s="40">
        <f>SUM('Datos Ing. est. noil'!D25:D28)</f>
        <v>615.8997327841538</v>
      </c>
      <c r="E24" s="40">
        <f>SUM('Datos Ing. est. noil'!E25:E28)</f>
        <v>386.29999999999995</v>
      </c>
      <c r="F24" s="40">
        <f>SUM('Datos Ing. est. noil'!F25:F28)</f>
        <v>61.9</v>
      </c>
      <c r="G24" s="40">
        <f>SUM('Datos Ing. est. noil'!G24:G27)</f>
        <v>420.09999999999997</v>
      </c>
      <c r="H24" s="40">
        <f t="shared" si="39"/>
        <v>3270.0761683379997</v>
      </c>
      <c r="J24" s="31" t="s">
        <v>16</v>
      </c>
      <c r="K24" s="25">
        <v>43177.791788571099</v>
      </c>
      <c r="L24" s="25">
        <f>+SUM('Datos Ing. est. noil'!K25:K28)</f>
        <v>42612.584999999999</v>
      </c>
      <c r="M24" s="26">
        <f t="shared" si="40"/>
        <v>1.0132638465507573</v>
      </c>
      <c r="N24" s="25">
        <f>+SUM('Datos Ing. est. noil'!L25:L28)</f>
        <v>33270.702999999994</v>
      </c>
      <c r="O24" s="26">
        <f t="shared" si="69"/>
        <v>2.5833183562386397E-2</v>
      </c>
      <c r="P24" s="86"/>
      <c r="Q24" s="31" t="s">
        <v>16</v>
      </c>
      <c r="R24" s="233">
        <f t="shared" si="38"/>
        <v>1602.64327</v>
      </c>
      <c r="S24" s="234">
        <f t="shared" si="48"/>
        <v>1.2274939209402291E-2</v>
      </c>
      <c r="T24" s="234">
        <f t="shared" si="49"/>
        <v>0.47516169192847119</v>
      </c>
      <c r="U24" s="234">
        <f t="shared" si="50"/>
        <v>1612.7089619384274</v>
      </c>
      <c r="W24" s="1" t="s">
        <v>16</v>
      </c>
      <c r="X24" s="17">
        <f t="shared" si="41"/>
        <v>183.23316555384611</v>
      </c>
      <c r="Y24" s="12">
        <f t="shared" si="51"/>
        <v>1.5440916712041482E-2</v>
      </c>
      <c r="Z24" s="12">
        <f t="shared" si="52"/>
        <v>0.59771637029373914</v>
      </c>
      <c r="AA24" s="12">
        <f t="shared" si="53"/>
        <v>184.6819896523634</v>
      </c>
      <c r="AC24" s="1" t="s">
        <v>16</v>
      </c>
      <c r="AD24" s="17">
        <f t="shared" si="42"/>
        <v>615.8997327841538</v>
      </c>
      <c r="AE24" s="12">
        <f t="shared" si="54"/>
        <v>4.0694080598297364E-2</v>
      </c>
      <c r="AF24" s="12">
        <f t="shared" si="55"/>
        <v>1.5752638655635427</v>
      </c>
      <c r="AG24" s="40">
        <f t="shared" si="56"/>
        <v>628.81738111979212</v>
      </c>
      <c r="AI24" s="1" t="s">
        <v>16</v>
      </c>
      <c r="AJ24" s="17">
        <f t="shared" si="43"/>
        <v>386.29999999999995</v>
      </c>
      <c r="AK24" s="12">
        <f t="shared" si="57"/>
        <v>1.0991886940591439E-2</v>
      </c>
      <c r="AL24" s="12">
        <f t="shared" si="58"/>
        <v>0.42549486454297619</v>
      </c>
      <c r="AM24" s="10">
        <f t="shared" si="59"/>
        <v>388.47191152786502</v>
      </c>
      <c r="AN24" s="126">
        <v>417.74102030072601</v>
      </c>
      <c r="AO24" s="1" t="s">
        <v>16</v>
      </c>
      <c r="AP24" s="17">
        <f t="shared" si="44"/>
        <v>61.9</v>
      </c>
      <c r="AQ24" s="12">
        <f t="shared" si="60"/>
        <v>0.19038461538461535</v>
      </c>
      <c r="AR24" s="12">
        <f t="shared" si="61"/>
        <v>7.3697697740134105</v>
      </c>
      <c r="AS24" s="12">
        <f t="shared" si="62"/>
        <v>68.212584460193014</v>
      </c>
      <c r="AT24" s="125">
        <v>53.959701985766699</v>
      </c>
      <c r="AU24" s="1" t="s">
        <v>16</v>
      </c>
      <c r="AV24" s="17">
        <f t="shared" si="45"/>
        <v>420.09999999999997</v>
      </c>
      <c r="AW24" s="12">
        <f t="shared" si="63"/>
        <v>1.9079418077748902E-3</v>
      </c>
      <c r="AX24" s="12">
        <f t="shared" si="64"/>
        <v>7.3856240101699638E-2</v>
      </c>
      <c r="AY24" s="12">
        <f t="shared" si="65"/>
        <v>420.50903106193476</v>
      </c>
      <c r="AZ24" s="223">
        <v>401.554974213408</v>
      </c>
      <c r="BA24" s="1" t="s">
        <v>16</v>
      </c>
      <c r="BB24" s="12">
        <f t="shared" si="46"/>
        <v>3270.0761683379997</v>
      </c>
      <c r="BC24" s="12">
        <f t="shared" si="66"/>
        <v>1.907320492920439E-2</v>
      </c>
      <c r="BD24" s="12">
        <f t="shared" si="67"/>
        <v>0.73832189064670051</v>
      </c>
      <c r="BE24" s="12">
        <f t="shared" si="68"/>
        <v>3302.0447185118346</v>
      </c>
      <c r="BF24" s="126">
        <v>3363.04874670245</v>
      </c>
      <c r="BH24" s="238" t="s">
        <v>16</v>
      </c>
      <c r="BI24" s="241">
        <f t="shared" si="30"/>
        <v>1612.7089619384274</v>
      </c>
      <c r="BJ24" s="241">
        <f t="shared" si="31"/>
        <v>184.6819896523634</v>
      </c>
      <c r="BK24" s="241">
        <f t="shared" si="32"/>
        <v>628.81738111979212</v>
      </c>
      <c r="BL24" s="245">
        <f t="shared" si="33"/>
        <v>388.47191152786502</v>
      </c>
      <c r="BM24" s="241">
        <f t="shared" si="34"/>
        <v>68.212584460193014</v>
      </c>
      <c r="BN24" s="241">
        <f t="shared" si="35"/>
        <v>420.50903106193476</v>
      </c>
      <c r="BO24" s="241">
        <f t="shared" si="70"/>
        <v>3303.4018597605755</v>
      </c>
      <c r="BP24" s="228">
        <v>3357.5767506439502</v>
      </c>
    </row>
    <row r="25" spans="1:68" x14ac:dyDescent="0.25">
      <c r="A25" s="1" t="s">
        <v>17</v>
      </c>
      <c r="B25" s="40">
        <f>SUM('Datos Ing. est. noil'!B26:B29)</f>
        <v>1637.8832699999998</v>
      </c>
      <c r="C25" s="40">
        <f>SUM('Datos Ing. est. noil'!C26:C29)</f>
        <v>191.84734970703849</v>
      </c>
      <c r="D25" s="40">
        <f>SUM('Datos Ing. est. noil'!D26:D29)</f>
        <v>652.88424380526112</v>
      </c>
      <c r="E25" s="40">
        <f>SUM('Datos Ing. est. noil'!E26:E29)</f>
        <v>388.9</v>
      </c>
      <c r="F25" s="40">
        <f>SUM('Datos Ing. est. noil'!F26:F29)</f>
        <v>68.900000000000006</v>
      </c>
      <c r="G25" s="40">
        <f>SUM('Datos Ing. est. noil'!G25:G28)</f>
        <v>420.6</v>
      </c>
      <c r="H25" s="40">
        <f t="shared" si="39"/>
        <v>3361.0148635122996</v>
      </c>
      <c r="J25" s="31" t="s">
        <v>17</v>
      </c>
      <c r="K25" s="25">
        <v>43807.748184227297</v>
      </c>
      <c r="L25" s="25">
        <f>+SUM('Datos Ing. est. noil'!K26:K29)</f>
        <v>43654.343000000001</v>
      </c>
      <c r="M25" s="26">
        <f t="shared" si="40"/>
        <v>1.0035140875726225</v>
      </c>
      <c r="N25" s="25">
        <f>+SUM('Datos Ing. est. noil'!L26:L29)</f>
        <v>34347.221000000005</v>
      </c>
      <c r="O25" s="26">
        <f t="shared" si="69"/>
        <v>3.2356334640720075E-2</v>
      </c>
      <c r="P25" s="86"/>
      <c r="Q25" s="31" t="s">
        <v>17</v>
      </c>
      <c r="R25" s="233">
        <f t="shared" si="38"/>
        <v>1637.8832699999998</v>
      </c>
      <c r="S25" s="234">
        <f t="shared" si="48"/>
        <v>2.1988673748962101E-2</v>
      </c>
      <c r="T25" s="234">
        <f t="shared" si="49"/>
        <v>0.67957863562486487</v>
      </c>
      <c r="U25" s="234">
        <f t="shared" si="50"/>
        <v>1641.7924984215963</v>
      </c>
      <c r="W25" s="1" t="s">
        <v>17</v>
      </c>
      <c r="X25" s="17">
        <f t="shared" si="41"/>
        <v>191.84734970703849</v>
      </c>
      <c r="Y25" s="12">
        <f t="shared" si="51"/>
        <v>4.7012145029284899E-2</v>
      </c>
      <c r="Z25" s="12">
        <f t="shared" si="52"/>
        <v>1.4529502661936453</v>
      </c>
      <c r="AA25" s="12">
        <f t="shared" si="53"/>
        <v>192.82766191100316</v>
      </c>
      <c r="AC25" s="1" t="s">
        <v>17</v>
      </c>
      <c r="AD25" s="17">
        <f t="shared" si="42"/>
        <v>652.88424380526112</v>
      </c>
      <c r="AE25" s="12">
        <f t="shared" si="54"/>
        <v>6.0049564973701321E-2</v>
      </c>
      <c r="AF25" s="12">
        <f t="shared" si="55"/>
        <v>1.8558828013272441</v>
      </c>
      <c r="AG25" s="40">
        <f t="shared" si="56"/>
        <v>657.14858373293055</v>
      </c>
      <c r="AI25" s="1" t="s">
        <v>17</v>
      </c>
      <c r="AJ25" s="17">
        <f t="shared" si="43"/>
        <v>388.9</v>
      </c>
      <c r="AK25" s="12">
        <f t="shared" si="57"/>
        <v>6.7305203209941057E-3</v>
      </c>
      <c r="AL25" s="12">
        <f t="shared" si="58"/>
        <v>0.20801244627145818</v>
      </c>
      <c r="AM25" s="10">
        <f t="shared" si="59"/>
        <v>389.18388101253197</v>
      </c>
      <c r="AN25" s="126">
        <v>429.60403204221097</v>
      </c>
      <c r="AO25" s="1" t="s">
        <v>17</v>
      </c>
      <c r="AP25" s="17">
        <f t="shared" si="44"/>
        <v>68.900000000000006</v>
      </c>
      <c r="AQ25" s="12">
        <f t="shared" si="60"/>
        <v>0.11308562197092095</v>
      </c>
      <c r="AR25" s="12">
        <f t="shared" si="61"/>
        <v>3.4950071825689428</v>
      </c>
      <c r="AS25" s="12">
        <f t="shared" si="62"/>
        <v>69.749929514481778</v>
      </c>
      <c r="AT25" s="125">
        <v>57.313901764965102</v>
      </c>
      <c r="AU25" s="1" t="s">
        <v>17</v>
      </c>
      <c r="AV25" s="17">
        <f t="shared" si="45"/>
        <v>420.6</v>
      </c>
      <c r="AW25" s="12">
        <f t="shared" si="63"/>
        <v>1.1901928112355556E-3</v>
      </c>
      <c r="AX25" s="12">
        <f t="shared" si="64"/>
        <v>3.6783919577148633E-2</v>
      </c>
      <c r="AY25" s="12">
        <f t="shared" si="65"/>
        <v>420.65427575999286</v>
      </c>
      <c r="AZ25" s="223">
        <v>412.71631498278703</v>
      </c>
      <c r="BA25" s="1" t="s">
        <v>17</v>
      </c>
      <c r="BB25" s="12">
        <f t="shared" si="46"/>
        <v>3361.0148635122996</v>
      </c>
      <c r="BC25" s="12">
        <f t="shared" si="66"/>
        <v>2.7809350759104623E-2</v>
      </c>
      <c r="BD25" s="12">
        <f t="shared" si="67"/>
        <v>0.85947160170938752</v>
      </c>
      <c r="BE25" s="12">
        <f t="shared" si="68"/>
        <v>3371.1634940167423</v>
      </c>
      <c r="BF25" s="126">
        <v>3448.90761221409</v>
      </c>
      <c r="BH25" s="238" t="s">
        <v>17</v>
      </c>
      <c r="BI25" s="241">
        <f t="shared" si="30"/>
        <v>1641.7924984215963</v>
      </c>
      <c r="BJ25" s="241">
        <f t="shared" si="31"/>
        <v>192.82766191100316</v>
      </c>
      <c r="BK25" s="241">
        <f t="shared" si="32"/>
        <v>657.14858373293055</v>
      </c>
      <c r="BL25" s="245">
        <f t="shared" si="33"/>
        <v>389.18388101253197</v>
      </c>
      <c r="BM25" s="241">
        <f t="shared" si="34"/>
        <v>69.749929514481778</v>
      </c>
      <c r="BN25" s="241">
        <f t="shared" si="35"/>
        <v>420.65427575999286</v>
      </c>
      <c r="BO25" s="241">
        <f t="shared" si="70"/>
        <v>3371.3568303525362</v>
      </c>
      <c r="BP25" s="228">
        <v>3446.5687563811598</v>
      </c>
    </row>
    <row r="26" spans="1:68" x14ac:dyDescent="0.25">
      <c r="A26" s="1" t="s">
        <v>18</v>
      </c>
      <c r="B26" s="40">
        <f>SUM('Datos Ing. est. noil'!B27:B30)</f>
        <v>1673.7936299999999</v>
      </c>
      <c r="C26" s="40">
        <f>SUM('Datos Ing. est. noil'!C27:C30)</f>
        <v>195.58107738388995</v>
      </c>
      <c r="D26" s="40">
        <f>SUM('Datos Ing. est. noil'!D27:D30)</f>
        <v>687.66161022557003</v>
      </c>
      <c r="E26" s="40">
        <f>SUM('Datos Ing. est. noil'!E27:E30)</f>
        <v>411.90000000000003</v>
      </c>
      <c r="F26" s="40">
        <f>SUM('Datos Ing. est. noil'!F27:F30)</f>
        <v>77.400000000000006</v>
      </c>
      <c r="G26" s="40">
        <f>SUM('Datos Ing. est. noil'!G26:G29)</f>
        <v>442.3</v>
      </c>
      <c r="H26" s="40">
        <f t="shared" si="39"/>
        <v>3488.6363176094601</v>
      </c>
      <c r="J26" s="31" t="s">
        <v>18</v>
      </c>
      <c r="K26" s="25">
        <v>44460.0912585517</v>
      </c>
      <c r="L26" s="25">
        <f>+SUM('Datos Ing. est. noil'!K27:K30)</f>
        <v>44593.251000000004</v>
      </c>
      <c r="M26" s="26">
        <f>K26/L26</f>
        <v>0.99701390370824716</v>
      </c>
      <c r="N26" s="25">
        <f>+SUM('Datos Ing. est. noil'!L27:L30)</f>
        <v>35434.224999999999</v>
      </c>
      <c r="O26" s="26">
        <f t="shared" si="69"/>
        <v>3.1647509415681396E-2</v>
      </c>
      <c r="P26" s="86"/>
      <c r="Q26" s="31" t="s">
        <v>18</v>
      </c>
      <c r="R26" s="233">
        <f t="shared" si="38"/>
        <v>1673.7936299999999</v>
      </c>
      <c r="S26" s="234">
        <f t="shared" si="48"/>
        <v>2.1924859150676889E-2</v>
      </c>
      <c r="T26" s="234">
        <f t="shared" si="49"/>
        <v>0.69278308326572713</v>
      </c>
      <c r="U26" s="234">
        <f t="shared" si="50"/>
        <v>1670.3294343385755</v>
      </c>
      <c r="W26" s="1" t="s">
        <v>18</v>
      </c>
      <c r="X26" s="17">
        <f t="shared" si="41"/>
        <v>195.58107738388995</v>
      </c>
      <c r="Y26" s="12">
        <f t="shared" si="51"/>
        <v>1.9461971627718951E-2</v>
      </c>
      <c r="Z26" s="12">
        <f t="shared" si="52"/>
        <v>0.61496060786620732</v>
      </c>
      <c r="AA26" s="12">
        <f t="shared" si="53"/>
        <v>195.22171891781088</v>
      </c>
      <c r="AC26" s="1" t="s">
        <v>18</v>
      </c>
      <c r="AD26" s="17">
        <f t="shared" si="42"/>
        <v>687.66161022557003</v>
      </c>
      <c r="AE26" s="12">
        <f t="shared" si="54"/>
        <v>5.3267277852522533E-2</v>
      </c>
      <c r="AF26" s="12">
        <f t="shared" si="55"/>
        <v>1.6831428076336554</v>
      </c>
      <c r="AG26" s="40">
        <f t="shared" si="56"/>
        <v>684.20893107391805</v>
      </c>
      <c r="AI26" s="1" t="s">
        <v>18</v>
      </c>
      <c r="AJ26" s="17">
        <f t="shared" si="43"/>
        <v>411.90000000000003</v>
      </c>
      <c r="AK26" s="12">
        <f t="shared" si="57"/>
        <v>5.914116739521743E-2</v>
      </c>
      <c r="AL26" s="12">
        <f t="shared" si="58"/>
        <v>1.8687463401436852</v>
      </c>
      <c r="AM26" s="10">
        <f t="shared" si="59"/>
        <v>409.604474079243</v>
      </c>
      <c r="AN26" s="126">
        <v>443.78820284718802</v>
      </c>
      <c r="AO26" s="1" t="s">
        <v>18</v>
      </c>
      <c r="AP26" s="17">
        <f t="shared" si="44"/>
        <v>77.400000000000006</v>
      </c>
      <c r="AQ26" s="12">
        <f t="shared" si="60"/>
        <v>0.12336719883889694</v>
      </c>
      <c r="AR26" s="12">
        <f t="shared" si="61"/>
        <v>3.8981645354300225</v>
      </c>
      <c r="AS26" s="12">
        <f t="shared" si="62"/>
        <v>76.502932370303682</v>
      </c>
      <c r="AT26" s="125">
        <v>60.402217078964597</v>
      </c>
      <c r="AU26" s="1" t="s">
        <v>18</v>
      </c>
      <c r="AV26" s="17">
        <f t="shared" si="45"/>
        <v>442.3</v>
      </c>
      <c r="AW26" s="12">
        <f t="shared" si="63"/>
        <v>5.1592962434617182E-2</v>
      </c>
      <c r="AX26" s="12">
        <f t="shared" si="64"/>
        <v>1.6302376833815801</v>
      </c>
      <c r="AY26" s="12">
        <f t="shared" si="65"/>
        <v>440.14888973916794</v>
      </c>
      <c r="AZ26" s="223">
        <v>427.34099007358702</v>
      </c>
      <c r="BA26" s="1" t="s">
        <v>18</v>
      </c>
      <c r="BB26" s="12">
        <f t="shared" si="46"/>
        <v>3488.6363176094601</v>
      </c>
      <c r="BC26" s="12">
        <f t="shared" si="66"/>
        <v>3.7971106728101445E-2</v>
      </c>
      <c r="BD26" s="12">
        <f t="shared" si="67"/>
        <v>1.1998134270018321</v>
      </c>
      <c r="BE26" s="12">
        <f t="shared" si="68"/>
        <v>3476.1411082465784</v>
      </c>
      <c r="BF26" s="126">
        <v>3547.4778325304301</v>
      </c>
      <c r="BH26" s="238" t="s">
        <v>18</v>
      </c>
      <c r="BI26" s="241">
        <f t="shared" si="30"/>
        <v>1670.3294343385755</v>
      </c>
      <c r="BJ26" s="241">
        <f t="shared" si="31"/>
        <v>195.22171891781088</v>
      </c>
      <c r="BK26" s="241">
        <f t="shared" si="32"/>
        <v>684.20893107391805</v>
      </c>
      <c r="BL26" s="245">
        <f t="shared" si="33"/>
        <v>409.604474079243</v>
      </c>
      <c r="BM26" s="241">
        <f t="shared" si="34"/>
        <v>76.502932370303682</v>
      </c>
      <c r="BN26" s="241">
        <f t="shared" si="35"/>
        <v>440.14888973916794</v>
      </c>
      <c r="BO26" s="241">
        <f t="shared" si="70"/>
        <v>3476.0163805190191</v>
      </c>
      <c r="BP26" s="228">
        <v>3547.32469091964</v>
      </c>
    </row>
    <row r="27" spans="1:68" x14ac:dyDescent="0.25">
      <c r="A27" s="1" t="s">
        <v>19</v>
      </c>
      <c r="B27" s="40">
        <f>SUM('Datos Ing. est. noil'!B28:B31)</f>
        <v>1719.6353999999999</v>
      </c>
      <c r="C27" s="40">
        <f>SUM('Datos Ing. est. noil'!C28:C31)</f>
        <v>202.10897081764958</v>
      </c>
      <c r="D27" s="40">
        <f>SUM('Datos Ing. est. noil'!D28:D31)</f>
        <v>701.93132668159922</v>
      </c>
      <c r="E27" s="40">
        <f>SUM('Datos Ing. est. noil'!E28:E31)</f>
        <v>453.7</v>
      </c>
      <c r="F27" s="40">
        <f>SUM('Datos Ing. est. noil'!F28:F31)</f>
        <v>88.1</v>
      </c>
      <c r="G27" s="40">
        <f>SUM('Datos Ing. est. noil'!G27:G30)</f>
        <v>454.59999999999997</v>
      </c>
      <c r="H27" s="40">
        <f t="shared" si="39"/>
        <v>3620.0756974992482</v>
      </c>
      <c r="J27" s="31" t="s">
        <v>19</v>
      </c>
      <c r="K27" s="25">
        <v>45120.276761328903</v>
      </c>
      <c r="L27" s="25">
        <f>+SUM('Datos Ing. est. noil'!K28:K31)</f>
        <v>45406.709999999992</v>
      </c>
      <c r="M27" s="26">
        <f t="shared" si="40"/>
        <v>0.99369183015745721</v>
      </c>
      <c r="N27" s="25">
        <f>+SUM('Datos Ing. est. noil'!L28:L31)</f>
        <v>36591.661</v>
      </c>
      <c r="O27" s="26">
        <f t="shared" si="69"/>
        <v>3.2664352049466272E-2</v>
      </c>
      <c r="P27" s="86"/>
      <c r="Q27" s="31" t="s">
        <v>19</v>
      </c>
      <c r="R27" s="233">
        <f t="shared" si="38"/>
        <v>1719.6353999999999</v>
      </c>
      <c r="S27" s="234">
        <f t="shared" si="48"/>
        <v>2.7387946266709116E-2</v>
      </c>
      <c r="T27" s="234">
        <f t="shared" si="49"/>
        <v>0.83846592839904899</v>
      </c>
      <c r="U27" s="234">
        <f t="shared" si="50"/>
        <v>1710.5352839773036</v>
      </c>
      <c r="W27" s="1" t="s">
        <v>19</v>
      </c>
      <c r="X27" s="17">
        <f t="shared" si="41"/>
        <v>202.10897081764958</v>
      </c>
      <c r="Y27" s="12">
        <f t="shared" si="51"/>
        <v>3.3376917241060934E-2</v>
      </c>
      <c r="Z27" s="12">
        <f t="shared" si="52"/>
        <v>1.0218147658498038</v>
      </c>
      <c r="AA27" s="12">
        <f t="shared" si="53"/>
        <v>200.8063104567986</v>
      </c>
      <c r="AC27" s="1" t="s">
        <v>19</v>
      </c>
      <c r="AD27" s="17">
        <f t="shared" si="42"/>
        <v>701.93132668159922</v>
      </c>
      <c r="AE27" s="12">
        <f t="shared" si="54"/>
        <v>2.0751073266033225E-2</v>
      </c>
      <c r="AF27" s="12">
        <f t="shared" si="55"/>
        <v>0.635281950017199</v>
      </c>
      <c r="AG27" s="40">
        <f t="shared" si="56"/>
        <v>699.11511522662283</v>
      </c>
      <c r="AI27" s="1" t="s">
        <v>19</v>
      </c>
      <c r="AJ27" s="17">
        <f t="shared" si="43"/>
        <v>453.7</v>
      </c>
      <c r="AK27" s="12">
        <f t="shared" si="57"/>
        <v>0.1014809419762077</v>
      </c>
      <c r="AL27" s="12">
        <f t="shared" si="58"/>
        <v>3.1067795810713434</v>
      </c>
      <c r="AM27" s="10">
        <f t="shared" si="59"/>
        <v>444.86729231225274</v>
      </c>
      <c r="AN27" s="126">
        <v>459.92997039986699</v>
      </c>
      <c r="AO27" s="1" t="s">
        <v>19</v>
      </c>
      <c r="AP27" s="17">
        <f t="shared" si="44"/>
        <v>88.1</v>
      </c>
      <c r="AQ27" s="12">
        <f t="shared" si="60"/>
        <v>0.13824289405684739</v>
      </c>
      <c r="AR27" s="12">
        <f t="shared" si="61"/>
        <v>4.2322252052480636</v>
      </c>
      <c r="AS27" s="12">
        <f t="shared" si="62"/>
        <v>85.771808071269731</v>
      </c>
      <c r="AT27" s="125">
        <v>62.829195535673797</v>
      </c>
      <c r="AU27" s="1" t="s">
        <v>19</v>
      </c>
      <c r="AV27" s="17">
        <f t="shared" si="45"/>
        <v>454.59999999999997</v>
      </c>
      <c r="AW27" s="12">
        <f t="shared" si="63"/>
        <v>2.7809179290074506E-2</v>
      </c>
      <c r="AX27" s="12">
        <f t="shared" si="64"/>
        <v>0.85136173060958975</v>
      </c>
      <c r="AY27" s="12">
        <f t="shared" si="65"/>
        <v>452.15740769786822</v>
      </c>
      <c r="AZ27" s="223">
        <v>447.36459181592397</v>
      </c>
      <c r="BA27" s="1" t="s">
        <v>19</v>
      </c>
      <c r="BB27" s="12">
        <f t="shared" si="46"/>
        <v>3620.0756974992482</v>
      </c>
      <c r="BC27" s="12">
        <f t="shared" si="66"/>
        <v>3.7676435123468188E-2</v>
      </c>
      <c r="BD27" s="12">
        <f t="shared" si="67"/>
        <v>1.1534419867386843</v>
      </c>
      <c r="BE27" s="12">
        <f t="shared" si="68"/>
        <v>3593.7484064489313</v>
      </c>
      <c r="BF27" s="126">
        <v>3661.0238162230598</v>
      </c>
      <c r="BH27" s="238" t="s">
        <v>19</v>
      </c>
      <c r="BI27" s="241">
        <f t="shared" si="30"/>
        <v>1710.5352839773036</v>
      </c>
      <c r="BJ27" s="241">
        <f t="shared" si="31"/>
        <v>200.8063104567986</v>
      </c>
      <c r="BK27" s="241">
        <f t="shared" si="32"/>
        <v>699.11511522662283</v>
      </c>
      <c r="BL27" s="245">
        <f t="shared" si="33"/>
        <v>444.86729231225274</v>
      </c>
      <c r="BM27" s="241">
        <f t="shared" si="34"/>
        <v>85.771808071269731</v>
      </c>
      <c r="BN27" s="241">
        <f t="shared" si="35"/>
        <v>452.15740769786822</v>
      </c>
      <c r="BO27" s="241">
        <f t="shared" si="70"/>
        <v>3593.2532177421158</v>
      </c>
      <c r="BP27" s="228">
        <v>3662.2768949717702</v>
      </c>
    </row>
    <row r="28" spans="1:68" x14ac:dyDescent="0.25">
      <c r="A28" s="1" t="s">
        <v>20</v>
      </c>
      <c r="B28" s="40">
        <f>SUM('Datos Ing. est. noil'!B29:B32)</f>
        <v>1782.1395</v>
      </c>
      <c r="C28" s="40">
        <f>SUM('Datos Ing. est. noil'!C29:C32)</f>
        <v>205.98370526380347</v>
      </c>
      <c r="D28" s="40">
        <f>SUM('Datos Ing. est. noil'!D29:D32)</f>
        <v>705.22633162053671</v>
      </c>
      <c r="E28" s="40">
        <f>SUM('Datos Ing. est. noil'!E29:E32)</f>
        <v>485.89468671572689</v>
      </c>
      <c r="F28" s="40">
        <f>SUM('Datos Ing. est. noil'!F29:F32)</f>
        <v>82.741243139999995</v>
      </c>
      <c r="G28" s="40">
        <f>SUM('Datos Ing. est. noil'!G28:G31)</f>
        <v>455.2</v>
      </c>
      <c r="H28" s="40">
        <f t="shared" si="39"/>
        <v>3717.1854667400667</v>
      </c>
      <c r="J28" s="31" t="s">
        <v>20</v>
      </c>
      <c r="K28" s="25">
        <v>45775.092529758098</v>
      </c>
      <c r="L28" s="25">
        <f>+SUM('Datos Ing. est. noil'!K29:K32)</f>
        <v>46087.112999999998</v>
      </c>
      <c r="M28" s="26">
        <f t="shared" si="40"/>
        <v>0.99322976750047465</v>
      </c>
      <c r="N28" s="25">
        <f>+SUM('Datos Ing. est. noil'!L29:L32)</f>
        <v>37600.598000000005</v>
      </c>
      <c r="O28" s="26">
        <f t="shared" si="69"/>
        <v>2.7572866943646135E-2</v>
      </c>
      <c r="P28" s="86"/>
      <c r="Q28" s="31" t="s">
        <v>20</v>
      </c>
      <c r="R28" s="233">
        <f t="shared" si="38"/>
        <v>1782.1395</v>
      </c>
      <c r="S28" s="234">
        <f t="shared" si="48"/>
        <v>3.6347297805104567E-2</v>
      </c>
      <c r="T28" s="234">
        <f t="shared" si="49"/>
        <v>1.3182270048084501</v>
      </c>
      <c r="U28" s="234">
        <f t="shared" si="50"/>
        <v>1766.2515936432205</v>
      </c>
      <c r="W28" s="1" t="s">
        <v>20</v>
      </c>
      <c r="X28" s="17">
        <f t="shared" si="41"/>
        <v>205.98370526380347</v>
      </c>
      <c r="Y28" s="12">
        <f t="shared" si="51"/>
        <v>1.917151143998367E-2</v>
      </c>
      <c r="Z28" s="12">
        <f t="shared" si="52"/>
        <v>0.69530351991204653</v>
      </c>
      <c r="AA28" s="12">
        <f t="shared" si="53"/>
        <v>205.01306139689223</v>
      </c>
      <c r="AC28" s="1" t="s">
        <v>20</v>
      </c>
      <c r="AD28" s="17">
        <f t="shared" si="42"/>
        <v>705.22633162053671</v>
      </c>
      <c r="AE28" s="12">
        <f t="shared" si="54"/>
        <v>4.6941984403441961E-3</v>
      </c>
      <c r="AF28" s="12">
        <f t="shared" si="55"/>
        <v>0.17024702037471379</v>
      </c>
      <c r="AG28" s="40">
        <f t="shared" si="56"/>
        <v>704.41118673028359</v>
      </c>
      <c r="AI28" s="1" t="s">
        <v>20</v>
      </c>
      <c r="AJ28" s="17">
        <f t="shared" si="43"/>
        <v>485.89468671572689</v>
      </c>
      <c r="AK28" s="12">
        <f t="shared" si="57"/>
        <v>7.0960296926883187E-2</v>
      </c>
      <c r="AL28" s="12">
        <f t="shared" si="58"/>
        <v>2.5735552661938628</v>
      </c>
      <c r="AM28" s="10">
        <f t="shared" si="59"/>
        <v>477.4737050976438</v>
      </c>
      <c r="AN28" s="126">
        <v>477.346890355987</v>
      </c>
      <c r="AO28" s="1" t="s">
        <v>20</v>
      </c>
      <c r="AP28" s="17">
        <f t="shared" si="44"/>
        <v>82.741243139999995</v>
      </c>
      <c r="AQ28" s="12">
        <f t="shared" si="60"/>
        <v>-6.0825844040862657E-2</v>
      </c>
      <c r="AR28" s="12">
        <f t="shared" si="61"/>
        <v>-2.2060036109113894</v>
      </c>
      <c r="AS28" s="12">
        <f t="shared" si="62"/>
        <v>83.990536309559317</v>
      </c>
      <c r="AT28" s="125">
        <v>64.369362572211301</v>
      </c>
      <c r="AU28" s="1" t="s">
        <v>20</v>
      </c>
      <c r="AV28" s="17">
        <f t="shared" si="45"/>
        <v>455.2</v>
      </c>
      <c r="AW28" s="12">
        <f t="shared" si="63"/>
        <v>1.3198416190057694E-3</v>
      </c>
      <c r="AX28" s="12">
        <f t="shared" si="64"/>
        <v>4.7867406088140295E-2</v>
      </c>
      <c r="AY28" s="12">
        <f t="shared" si="65"/>
        <v>455.05200418901563</v>
      </c>
      <c r="AZ28" s="223">
        <v>474.872302639179</v>
      </c>
      <c r="BA28" s="1" t="s">
        <v>20</v>
      </c>
      <c r="BB28" s="12">
        <f t="shared" si="46"/>
        <v>3717.1854667400667</v>
      </c>
      <c r="BC28" s="12">
        <f t="shared" si="66"/>
        <v>2.6825342162845267E-2</v>
      </c>
      <c r="BD28" s="12">
        <f t="shared" si="67"/>
        <v>0.97288911659680977</v>
      </c>
      <c r="BE28" s="12">
        <f t="shared" si="68"/>
        <v>3692.6992828652483</v>
      </c>
      <c r="BF28" s="126">
        <v>3791.2211935382602</v>
      </c>
      <c r="BH28" s="238" t="s">
        <v>20</v>
      </c>
      <c r="BI28" s="241">
        <f t="shared" si="30"/>
        <v>1766.2515936432205</v>
      </c>
      <c r="BJ28" s="241">
        <f t="shared" si="31"/>
        <v>205.01306139689223</v>
      </c>
      <c r="BK28" s="241">
        <f t="shared" si="32"/>
        <v>704.41118673028359</v>
      </c>
      <c r="BL28" s="245">
        <f t="shared" si="33"/>
        <v>477.4737050976438</v>
      </c>
      <c r="BM28" s="241">
        <f t="shared" si="34"/>
        <v>83.990536309559317</v>
      </c>
      <c r="BN28" s="241">
        <f t="shared" si="35"/>
        <v>455.05200418901563</v>
      </c>
      <c r="BO28" s="241">
        <f>+SUM(BI28:BN28)</f>
        <v>3692.1920873666149</v>
      </c>
      <c r="BP28" s="228">
        <v>3793.2704623407199</v>
      </c>
    </row>
    <row r="29" spans="1:68" x14ac:dyDescent="0.25">
      <c r="A29" s="1" t="s">
        <v>21</v>
      </c>
      <c r="B29" s="40">
        <f>SUM('Datos Ing. est. noil'!B30:B33)</f>
        <v>1837.95642</v>
      </c>
      <c r="C29" s="40">
        <f>SUM('Datos Ing. est. noil'!C30:C33)</f>
        <v>210.24332111061113</v>
      </c>
      <c r="D29" s="40">
        <f>SUM('Datos Ing. est. noil'!D30:D33)</f>
        <v>842.90508672602232</v>
      </c>
      <c r="E29" s="40">
        <f>SUM('Datos Ing. est. noil'!E30:E33)</f>
        <v>524.86969742236124</v>
      </c>
      <c r="F29" s="40">
        <f>SUM('Datos Ing. est. noil'!F30:F33)</f>
        <v>76.672578720000004</v>
      </c>
      <c r="G29" s="40">
        <f>SUM('Datos Ing. est. noil'!G29:G32)</f>
        <v>487.86409497</v>
      </c>
      <c r="H29" s="40">
        <f t="shared" si="39"/>
        <v>3980.5111989489942</v>
      </c>
      <c r="J29" s="31" t="s">
        <v>21</v>
      </c>
      <c r="K29" s="25">
        <v>46414.190633425002</v>
      </c>
      <c r="L29" s="25">
        <f>+SUM('Datos Ing. est. noil'!K30:K33)</f>
        <v>46740.955999999998</v>
      </c>
      <c r="M29" s="26">
        <f t="shared" si="40"/>
        <v>0.99300901405236564</v>
      </c>
      <c r="N29" s="25">
        <f>+SUM('Datos Ing. est. noil'!L30:L33)</f>
        <v>38780.020000000004</v>
      </c>
      <c r="O29" s="26">
        <f t="shared" si="69"/>
        <v>3.1367107512492165E-2</v>
      </c>
      <c r="P29" s="86"/>
      <c r="Q29" s="31" t="s">
        <v>21</v>
      </c>
      <c r="R29" s="233">
        <f t="shared" si="38"/>
        <v>1837.95642</v>
      </c>
      <c r="S29" s="234">
        <f t="shared" si="48"/>
        <v>3.1320174430789501E-2</v>
      </c>
      <c r="T29" s="234">
        <f t="shared" si="49"/>
        <v>0.99850374849883838</v>
      </c>
      <c r="U29" s="234">
        <f t="shared" si="50"/>
        <v>1825.1264507624387</v>
      </c>
      <c r="W29" s="1" t="s">
        <v>21</v>
      </c>
      <c r="X29" s="17">
        <f t="shared" si="41"/>
        <v>210.24332111061113</v>
      </c>
      <c r="Y29" s="12">
        <f t="shared" si="51"/>
        <v>2.0679382581997783E-2</v>
      </c>
      <c r="Z29" s="12">
        <f t="shared" si="52"/>
        <v>0.6592696688326164</v>
      </c>
      <c r="AA29" s="12">
        <f t="shared" si="53"/>
        <v>209.27316348964351</v>
      </c>
      <c r="AC29" s="1" t="s">
        <v>21</v>
      </c>
      <c r="AD29" s="17">
        <f t="shared" si="42"/>
        <v>842.90508672602232</v>
      </c>
      <c r="AE29" s="12">
        <f t="shared" si="54"/>
        <v>0.1952263393074308</v>
      </c>
      <c r="AF29" s="12">
        <f t="shared" si="55"/>
        <v>6.2239190919876997</v>
      </c>
      <c r="AG29" s="40">
        <f t="shared" si="56"/>
        <v>806.89231824065996</v>
      </c>
      <c r="AI29" s="1" t="s">
        <v>21</v>
      </c>
      <c r="AJ29" s="17">
        <f t="shared" si="43"/>
        <v>524.86969742236124</v>
      </c>
      <c r="AK29" s="12">
        <f t="shared" si="57"/>
        <v>8.0212876930339252E-2</v>
      </c>
      <c r="AL29" s="12">
        <f t="shared" si="58"/>
        <v>2.5572289985104275</v>
      </c>
      <c r="AM29" s="10">
        <f t="shared" si="59"/>
        <v>515.5373221633007</v>
      </c>
      <c r="AN29" s="126">
        <v>495.29421866728597</v>
      </c>
      <c r="AO29" s="1" t="s">
        <v>21</v>
      </c>
      <c r="AP29" s="17">
        <f t="shared" si="44"/>
        <v>76.672578720000004</v>
      </c>
      <c r="AQ29" s="12">
        <f t="shared" si="60"/>
        <v>-7.3345095984739761E-2</v>
      </c>
      <c r="AR29" s="12">
        <f t="shared" si="61"/>
        <v>-2.3382805046824791</v>
      </c>
      <c r="AS29" s="12">
        <f t="shared" si="62"/>
        <v>77.940711237094121</v>
      </c>
      <c r="AT29" s="125">
        <v>65.049951670339198</v>
      </c>
      <c r="AU29" s="1" t="s">
        <v>21</v>
      </c>
      <c r="AV29" s="17">
        <f t="shared" si="45"/>
        <v>487.86409497</v>
      </c>
      <c r="AW29" s="12">
        <f t="shared" si="63"/>
        <v>7.1757677877855905E-2</v>
      </c>
      <c r="AX29" s="12">
        <f t="shared" si="64"/>
        <v>2.2876727747140193</v>
      </c>
      <c r="AY29" s="12">
        <f t="shared" si="65"/>
        <v>480.09673712927957</v>
      </c>
      <c r="AZ29" s="223">
        <v>512.02165905457298</v>
      </c>
      <c r="BA29" s="1" t="s">
        <v>21</v>
      </c>
      <c r="BB29" s="12">
        <f t="shared" si="46"/>
        <v>3980.5111989489942</v>
      </c>
      <c r="BC29" s="12">
        <f t="shared" si="66"/>
        <v>7.0840084403929859E-2</v>
      </c>
      <c r="BD29" s="12">
        <f t="shared" si="67"/>
        <v>2.2584194087936642</v>
      </c>
      <c r="BE29" s="12">
        <f t="shared" si="68"/>
        <v>3917.9408687559207</v>
      </c>
      <c r="BF29" s="126">
        <v>3939.3363565600998</v>
      </c>
      <c r="BH29" s="238" t="s">
        <v>21</v>
      </c>
      <c r="BI29" s="241">
        <f t="shared" si="30"/>
        <v>1825.1264507624387</v>
      </c>
      <c r="BJ29" s="241">
        <f t="shared" si="31"/>
        <v>209.27316348964351</v>
      </c>
      <c r="BK29" s="241">
        <f t="shared" si="32"/>
        <v>806.89231824065996</v>
      </c>
      <c r="BL29" s="245">
        <f t="shared" si="33"/>
        <v>515.5373221633007</v>
      </c>
      <c r="BM29" s="241">
        <f t="shared" si="34"/>
        <v>77.940711237094121</v>
      </c>
      <c r="BN29" s="241">
        <f t="shared" si="35"/>
        <v>480.09673712927957</v>
      </c>
      <c r="BO29" s="241">
        <f t="shared" si="70"/>
        <v>3914.8667030224169</v>
      </c>
      <c r="BP29" s="228">
        <v>3941.7287178799502</v>
      </c>
    </row>
    <row r="30" spans="1:68" x14ac:dyDescent="0.25">
      <c r="A30" s="1" t="s">
        <v>22</v>
      </c>
      <c r="B30" s="40">
        <f>SUM('Datos Ing. est. noil'!B31:B34)</f>
        <v>1922.8604399999999</v>
      </c>
      <c r="C30" s="40">
        <f>SUM('Datos Ing. est. noil'!C31:C34)</f>
        <v>217.32739343375962</v>
      </c>
      <c r="D30" s="40">
        <f>SUM('Datos Ing. est. noil'!D31:D34)</f>
        <v>912.18923104870009</v>
      </c>
      <c r="E30" s="40">
        <f>SUM('Datos Ing. est. noil'!E31:E34)</f>
        <v>542.57395160830561</v>
      </c>
      <c r="F30" s="40">
        <f>SUM('Datos Ing. est. noil'!F31:F34)</f>
        <v>69.86114692999999</v>
      </c>
      <c r="G30" s="40">
        <f>SUM('Datos Ing. est. noil'!G30:G33)</f>
        <v>519.69866677000005</v>
      </c>
      <c r="H30" s="40">
        <f t="shared" si="39"/>
        <v>4184.5108297907645</v>
      </c>
      <c r="J30" s="31" t="s">
        <v>22</v>
      </c>
      <c r="K30" s="25">
        <v>47030.343216618101</v>
      </c>
      <c r="L30" s="25">
        <f>+SUM('Datos Ing. est. noil'!K31:K34)</f>
        <v>47289.586000000003</v>
      </c>
      <c r="M30" s="26">
        <f t="shared" si="40"/>
        <v>0.99451797308223633</v>
      </c>
      <c r="N30" s="25">
        <f>+SUM('Datos Ing. est. noil'!L31:L34)</f>
        <v>40218.524000000005</v>
      </c>
      <c r="O30" s="26">
        <f t="shared" si="69"/>
        <v>3.7093946831383784E-2</v>
      </c>
      <c r="P30" s="86"/>
      <c r="Q30" s="31" t="s">
        <v>22</v>
      </c>
      <c r="R30" s="233">
        <f t="shared" si="38"/>
        <v>1922.8604399999999</v>
      </c>
      <c r="S30" s="234">
        <f t="shared" si="48"/>
        <v>4.6194794977782956E-2</v>
      </c>
      <c r="T30" s="234">
        <f t="shared" si="49"/>
        <v>1.2453459101499356</v>
      </c>
      <c r="U30" s="234">
        <f t="shared" si="50"/>
        <v>1909.7418740383389</v>
      </c>
      <c r="W30" s="1" t="s">
        <v>22</v>
      </c>
      <c r="X30" s="17">
        <f t="shared" si="41"/>
        <v>217.32739343375962</v>
      </c>
      <c r="Y30" s="12">
        <f t="shared" si="51"/>
        <v>3.3694636698692028E-2</v>
      </c>
      <c r="Z30" s="12">
        <f t="shared" si="52"/>
        <v>0.90835943804675623</v>
      </c>
      <c r="AA30" s="12">
        <f t="shared" si="53"/>
        <v>216.24490650239605</v>
      </c>
      <c r="AC30" s="1" t="s">
        <v>22</v>
      </c>
      <c r="AD30" s="17">
        <f t="shared" si="42"/>
        <v>912.18923104870009</v>
      </c>
      <c r="AE30" s="12">
        <f t="shared" si="54"/>
        <v>8.2196851595460682E-2</v>
      </c>
      <c r="AF30" s="12">
        <f t="shared" si="55"/>
        <v>2.2159101043924783</v>
      </c>
      <c r="AG30" s="40">
        <f t="shared" si="56"/>
        <v>901.14516562633787</v>
      </c>
      <c r="AI30" s="1" t="s">
        <v>22</v>
      </c>
      <c r="AJ30" s="17">
        <f t="shared" si="43"/>
        <v>542.57395160830561</v>
      </c>
      <c r="AK30" s="12">
        <f t="shared" si="57"/>
        <v>3.3730760744790721E-2</v>
      </c>
      <c r="AL30" s="12">
        <f t="shared" si="58"/>
        <v>0.90933329090374393</v>
      </c>
      <c r="AM30" s="10">
        <f t="shared" si="59"/>
        <v>539.86855259597689</v>
      </c>
      <c r="AN30" s="126">
        <v>513.11264238194406</v>
      </c>
      <c r="AO30" s="1" t="s">
        <v>22</v>
      </c>
      <c r="AP30" s="17">
        <f t="shared" si="44"/>
        <v>69.86114692999999</v>
      </c>
      <c r="AQ30" s="12">
        <f t="shared" si="60"/>
        <v>-8.8837911854701399E-2</v>
      </c>
      <c r="AR30" s="12">
        <f t="shared" si="61"/>
        <v>-2.394943634834215</v>
      </c>
      <c r="AS30" s="12">
        <f t="shared" si="62"/>
        <v>70.786968391791774</v>
      </c>
      <c r="AT30" s="125">
        <v>65.081902686097493</v>
      </c>
      <c r="AU30" s="1" t="s">
        <v>22</v>
      </c>
      <c r="AV30" s="17">
        <f t="shared" si="45"/>
        <v>519.69866677000005</v>
      </c>
      <c r="AW30" s="12">
        <f t="shared" si="63"/>
        <v>6.5252950828360592E-2</v>
      </c>
      <c r="AX30" s="12">
        <f t="shared" si="64"/>
        <v>1.7591266608802205</v>
      </c>
      <c r="AY30" s="12">
        <f t="shared" si="65"/>
        <v>514.69734419405495</v>
      </c>
      <c r="AZ30" s="223">
        <v>560.77347454693597</v>
      </c>
      <c r="BA30" s="1" t="s">
        <v>22</v>
      </c>
      <c r="BB30" s="12">
        <f t="shared" si="46"/>
        <v>4184.5108297907645</v>
      </c>
      <c r="BC30" s="12">
        <f t="shared" si="66"/>
        <v>5.124960605452733E-2</v>
      </c>
      <c r="BD30" s="12">
        <f t="shared" si="67"/>
        <v>1.3816164208001447</v>
      </c>
      <c r="BE30" s="12">
        <f t="shared" si="68"/>
        <v>4152.8502900386848</v>
      </c>
      <c r="BF30" s="126">
        <v>4105.8954854372396</v>
      </c>
      <c r="BH30" s="238" t="s">
        <v>22</v>
      </c>
      <c r="BI30" s="241">
        <f t="shared" si="30"/>
        <v>1909.7418740383389</v>
      </c>
      <c r="BJ30" s="241">
        <f t="shared" si="31"/>
        <v>216.24490650239605</v>
      </c>
      <c r="BK30" s="241">
        <f t="shared" si="32"/>
        <v>901.14516562633787</v>
      </c>
      <c r="BL30" s="245">
        <f t="shared" si="33"/>
        <v>539.86855259597689</v>
      </c>
      <c r="BM30" s="241">
        <f t="shared" si="34"/>
        <v>70.786968391791774</v>
      </c>
      <c r="BN30" s="241">
        <f t="shared" si="35"/>
        <v>514.69734419405495</v>
      </c>
      <c r="BO30" s="241">
        <f t="shared" si="70"/>
        <v>4152.4848113488961</v>
      </c>
      <c r="BP30" s="228">
        <v>4108.3142818195101</v>
      </c>
    </row>
    <row r="31" spans="1:68" x14ac:dyDescent="0.25">
      <c r="A31" s="1" t="s">
        <v>23</v>
      </c>
      <c r="B31" s="40">
        <f>SUM('Datos Ing. est. noil'!B32:B35)</f>
        <v>1974.8783699999999</v>
      </c>
      <c r="C31" s="40">
        <f>SUM('Datos Ing. est. noil'!C32:C35)</f>
        <v>220.62860000000001</v>
      </c>
      <c r="D31" s="40">
        <f>SUM('Datos Ing. est. noil'!D32:D35)</f>
        <v>936.55308024291708</v>
      </c>
      <c r="E31" s="40">
        <f>SUM('Datos Ing. est. noil'!E32:E35)</f>
        <v>546.54266100513087</v>
      </c>
      <c r="F31" s="40">
        <f>SUM('Datos Ing. est. noil'!F32:F35)</f>
        <v>62.378845049999995</v>
      </c>
      <c r="G31" s="40">
        <f>SUM('Datos Ing. est. noil'!G31:G34)</f>
        <v>540.08946190999995</v>
      </c>
      <c r="H31" s="40">
        <f t="shared" si="39"/>
        <v>4281.0710182080475</v>
      </c>
      <c r="J31" s="31" t="s">
        <v>23</v>
      </c>
      <c r="K31" s="25">
        <v>47619.590517291101</v>
      </c>
      <c r="L31" s="25">
        <f>+SUM('Datos Ing. est. noil'!K32:K35)</f>
        <v>47809.319000000003</v>
      </c>
      <c r="M31" s="26">
        <f t="shared" si="40"/>
        <v>0.99603155856060399</v>
      </c>
      <c r="N31" s="25">
        <f>+SUM('Datos Ing. est. noil'!L32:L35)</f>
        <v>41507.084999999999</v>
      </c>
      <c r="O31" s="26">
        <f t="shared" si="69"/>
        <v>3.2038992778551378E-2</v>
      </c>
      <c r="P31" s="86"/>
      <c r="Q31" s="31" t="s">
        <v>23</v>
      </c>
      <c r="R31" s="233">
        <f t="shared" si="38"/>
        <v>1974.8783699999999</v>
      </c>
      <c r="S31" s="234">
        <f t="shared" si="48"/>
        <v>2.7052368917631891E-2</v>
      </c>
      <c r="T31" s="234">
        <f t="shared" si="49"/>
        <v>0.84435765832633158</v>
      </c>
      <c r="U31" s="234">
        <f t="shared" si="50"/>
        <v>1968.258932540559</v>
      </c>
      <c r="W31" s="1" t="s">
        <v>23</v>
      </c>
      <c r="X31" s="17">
        <f t="shared" si="41"/>
        <v>220.62860000000001</v>
      </c>
      <c r="Y31" s="12">
        <f t="shared" si="51"/>
        <v>1.5190015920595733E-2</v>
      </c>
      <c r="Z31" s="12">
        <f t="shared" si="52"/>
        <v>0.47411028260428789</v>
      </c>
      <c r="AA31" s="12">
        <f t="shared" si="53"/>
        <v>220.21305791206311</v>
      </c>
      <c r="AC31" s="1" t="s">
        <v>23</v>
      </c>
      <c r="AD31" s="17">
        <f t="shared" si="42"/>
        <v>936.55308024291708</v>
      </c>
      <c r="AE31" s="12">
        <f t="shared" si="54"/>
        <v>2.6709205025592153E-2</v>
      </c>
      <c r="AF31" s="12">
        <f t="shared" si="55"/>
        <v>0.83364683809513285</v>
      </c>
      <c r="AG31" s="40">
        <f t="shared" si="56"/>
        <v>933.45367737693084</v>
      </c>
      <c r="AI31" s="1" t="s">
        <v>23</v>
      </c>
      <c r="AJ31" s="17">
        <f t="shared" si="43"/>
        <v>546.54266100513087</v>
      </c>
      <c r="AK31" s="12">
        <f t="shared" si="57"/>
        <v>7.3145962592954476E-3</v>
      </c>
      <c r="AL31" s="12">
        <f t="shared" si="58"/>
        <v>0.22830294041553736</v>
      </c>
      <c r="AM31" s="10">
        <f t="shared" si="59"/>
        <v>546.04672961385063</v>
      </c>
      <c r="AN31" s="126">
        <v>530.43860636146701</v>
      </c>
      <c r="AO31" s="1" t="s">
        <v>23</v>
      </c>
      <c r="AP31" s="17">
        <f t="shared" si="44"/>
        <v>62.378845049999995</v>
      </c>
      <c r="AQ31" s="12">
        <f t="shared" si="60"/>
        <v>-0.10710247696759358</v>
      </c>
      <c r="AR31" s="12">
        <f t="shared" si="61"/>
        <v>-3.3428790258130001</v>
      </c>
      <c r="AS31" s="12">
        <f t="shared" si="62"/>
        <v>63.213545673986332</v>
      </c>
      <c r="AT31" s="125">
        <v>64.792355958822498</v>
      </c>
      <c r="AU31" s="1" t="s">
        <v>23</v>
      </c>
      <c r="AV31" s="17">
        <f t="shared" si="45"/>
        <v>540.08946190999995</v>
      </c>
      <c r="AW31" s="12">
        <f t="shared" si="63"/>
        <v>3.9235804214645294E-2</v>
      </c>
      <c r="AX31" s="12">
        <f t="shared" si="64"/>
        <v>1.2246266443466927</v>
      </c>
      <c r="AY31" s="12">
        <f t="shared" si="65"/>
        <v>537.4658742913773</v>
      </c>
      <c r="AZ31" s="223">
        <v>622.84694601055196</v>
      </c>
      <c r="BA31" s="1" t="s">
        <v>23</v>
      </c>
      <c r="BB31" s="12">
        <f t="shared" si="46"/>
        <v>4281.0710182080475</v>
      </c>
      <c r="BC31" s="12">
        <f t="shared" si="66"/>
        <v>2.3075621582776762E-2</v>
      </c>
      <c r="BD31" s="12">
        <f t="shared" si="67"/>
        <v>0.72023554992105809</v>
      </c>
      <c r="BE31" s="12">
        <f t="shared" si="68"/>
        <v>4268.8280030496389</v>
      </c>
      <c r="BF31" s="126">
        <v>4291.8363967527603</v>
      </c>
      <c r="BH31" s="238" t="s">
        <v>23</v>
      </c>
      <c r="BI31" s="241">
        <f t="shared" si="30"/>
        <v>1968.258932540559</v>
      </c>
      <c r="BJ31" s="241">
        <f t="shared" si="31"/>
        <v>220.21305791206311</v>
      </c>
      <c r="BK31" s="241">
        <f t="shared" si="32"/>
        <v>933.45367737693084</v>
      </c>
      <c r="BL31" s="245">
        <f t="shared" si="33"/>
        <v>546.04672961385063</v>
      </c>
      <c r="BM31" s="241">
        <f t="shared" si="34"/>
        <v>63.213545673986332</v>
      </c>
      <c r="BN31" s="241">
        <f t="shared" si="35"/>
        <v>537.4658742913773</v>
      </c>
      <c r="BO31" s="241">
        <f t="shared" si="70"/>
        <v>4268.6518174087669</v>
      </c>
      <c r="BP31" s="228">
        <v>4294.0774872106504</v>
      </c>
    </row>
    <row r="32" spans="1:68" x14ac:dyDescent="0.25">
      <c r="A32" s="1" t="s">
        <v>24</v>
      </c>
      <c r="B32" s="40">
        <f>SUM('Datos Ing. est. noil'!B33:B36)</f>
        <v>2019.3787800000002</v>
      </c>
      <c r="C32" s="40">
        <f>SUM('Datos Ing. est. noil'!C33:C36)</f>
        <v>228.29599999999999</v>
      </c>
      <c r="D32" s="40">
        <f>SUM('Datos Ing. est. noil'!D33:D36)</f>
        <v>969.57533973232489</v>
      </c>
      <c r="E32" s="40">
        <f>SUM('Datos Ing. est. noil'!E33:E36)</f>
        <v>561.46408272300403</v>
      </c>
      <c r="F32" s="40">
        <f>SUM('Datos Ing. est. noil'!F33:F36)</f>
        <v>60.637785229999992</v>
      </c>
      <c r="G32" s="40">
        <f>SUM('Datos Ing. est. noil'!G32:G35)</f>
        <v>743.32369708555552</v>
      </c>
      <c r="H32" s="40">
        <f t="shared" si="39"/>
        <v>4582.6756847708857</v>
      </c>
      <c r="J32" s="31" t="s">
        <v>24</v>
      </c>
      <c r="K32" s="25">
        <v>48180.565341232003</v>
      </c>
      <c r="L32" s="25">
        <f>+SUM('Datos Ing. est. noil'!K33:K36)</f>
        <v>48315.621000000006</v>
      </c>
      <c r="M32" s="26">
        <f t="shared" si="40"/>
        <v>0.99720472062714449</v>
      </c>
      <c r="N32" s="25">
        <f>+SUM('Datos Ing. est. noil'!L33:L36)</f>
        <v>42961.464</v>
      </c>
      <c r="O32" s="26">
        <f t="shared" si="69"/>
        <v>3.5039295098655998E-2</v>
      </c>
      <c r="P32" s="86"/>
      <c r="Q32" s="31" t="s">
        <v>24</v>
      </c>
      <c r="R32" s="233">
        <f t="shared" si="38"/>
        <v>2019.3787800000002</v>
      </c>
      <c r="S32" s="234">
        <f t="shared" si="48"/>
        <v>2.2533240869917641E-2</v>
      </c>
      <c r="T32" s="234">
        <f t="shared" si="49"/>
        <v>0.64308487960369809</v>
      </c>
      <c r="U32" s="234">
        <f t="shared" si="50"/>
        <v>2015.7469277730236</v>
      </c>
      <c r="W32" s="1" t="s">
        <v>24</v>
      </c>
      <c r="X32" s="17">
        <f>C32</f>
        <v>228.29599999999999</v>
      </c>
      <c r="Y32" s="12">
        <f t="shared" si="51"/>
        <v>3.4752520752069249E-2</v>
      </c>
      <c r="Z32" s="12">
        <f t="shared" si="52"/>
        <v>0.99181563596586886</v>
      </c>
      <c r="AA32" s="12">
        <f t="shared" si="53"/>
        <v>227.66306451445823</v>
      </c>
      <c r="AC32" s="1" t="s">
        <v>24</v>
      </c>
      <c r="AD32" s="17">
        <f t="shared" si="42"/>
        <v>969.57533973232489</v>
      </c>
      <c r="AE32" s="12">
        <f t="shared" si="54"/>
        <v>3.5259357089341609E-2</v>
      </c>
      <c r="AF32" s="12">
        <f t="shared" si="55"/>
        <v>1.0062804342971514</v>
      </c>
      <c r="AG32" s="40">
        <f t="shared" si="56"/>
        <v>966.8481082999599</v>
      </c>
      <c r="AI32" s="1" t="s">
        <v>24</v>
      </c>
      <c r="AJ32" s="17">
        <f t="shared" si="43"/>
        <v>561.46408272300403</v>
      </c>
      <c r="AK32" s="12">
        <f t="shared" si="57"/>
        <v>2.7301476686982865E-2</v>
      </c>
      <c r="AL32" s="12">
        <f t="shared" si="58"/>
        <v>0.77916740648216032</v>
      </c>
      <c r="AM32" s="10">
        <f t="shared" si="59"/>
        <v>560.24084138023045</v>
      </c>
      <c r="AN32" s="126">
        <v>547.20312904354296</v>
      </c>
      <c r="AO32" s="1" t="s">
        <v>24</v>
      </c>
      <c r="AP32" s="17">
        <f t="shared" si="44"/>
        <v>60.637785229999992</v>
      </c>
      <c r="AQ32" s="12">
        <f t="shared" si="60"/>
        <v>-2.7911062133395559E-2</v>
      </c>
      <c r="AR32" s="12">
        <f t="shared" si="61"/>
        <v>-0.79656460139422558</v>
      </c>
      <c r="AS32" s="12">
        <f t="shared" si="62"/>
        <v>60.773142479236945</v>
      </c>
      <c r="AT32" s="125">
        <v>64.556232800990003</v>
      </c>
      <c r="AU32" s="1" t="s">
        <v>24</v>
      </c>
      <c r="AV32" s="17">
        <f t="shared" si="45"/>
        <v>743.32369708555552</v>
      </c>
      <c r="AW32" s="12">
        <f t="shared" si="63"/>
        <v>0.37629735351033816</v>
      </c>
      <c r="AX32" s="12">
        <f t="shared" si="64"/>
        <v>10.739295766391482</v>
      </c>
      <c r="AY32" s="12">
        <f t="shared" si="65"/>
        <v>721.31089613776771</v>
      </c>
      <c r="AZ32" s="223">
        <v>699.55053559423402</v>
      </c>
      <c r="BA32" s="1" t="s">
        <v>24</v>
      </c>
      <c r="BB32" s="12">
        <f t="shared" si="46"/>
        <v>4582.6756847708857</v>
      </c>
      <c r="BC32" s="12">
        <f t="shared" si="66"/>
        <v>7.0450750590230315E-2</v>
      </c>
      <c r="BD32" s="12">
        <f t="shared" si="67"/>
        <v>2.0106212294474095</v>
      </c>
      <c r="BE32" s="12">
        <f t="shared" si="68"/>
        <v>4556.9562899602051</v>
      </c>
      <c r="BF32" s="126">
        <v>4498.8829522353699</v>
      </c>
      <c r="BH32" s="238" t="s">
        <v>24</v>
      </c>
      <c r="BI32" s="241">
        <f t="shared" si="30"/>
        <v>2015.7469277730236</v>
      </c>
      <c r="BJ32" s="241">
        <f t="shared" si="31"/>
        <v>227.66306451445823</v>
      </c>
      <c r="BK32" s="241">
        <f t="shared" si="32"/>
        <v>966.8481082999599</v>
      </c>
      <c r="BL32" s="245">
        <f t="shared" si="33"/>
        <v>560.24084138023045</v>
      </c>
      <c r="BM32" s="241">
        <f t="shared" si="34"/>
        <v>60.773142479236945</v>
      </c>
      <c r="BN32" s="241">
        <f t="shared" si="35"/>
        <v>721.31089613776771</v>
      </c>
      <c r="BO32" s="241">
        <f t="shared" si="70"/>
        <v>4552.582980584677</v>
      </c>
      <c r="BP32" s="228">
        <v>4500.8305242864199</v>
      </c>
    </row>
    <row r="33" spans="1:68" x14ac:dyDescent="0.25">
      <c r="A33" s="1" t="s">
        <v>25</v>
      </c>
      <c r="B33" s="40">
        <f>SUM('Datos Ing. est. noil'!B34:B37)</f>
        <v>2099.1580200000003</v>
      </c>
      <c r="C33" s="40">
        <f>SUM('Datos Ing. est. noil'!C34:C37)</f>
        <v>232.81220000000002</v>
      </c>
      <c r="D33" s="40">
        <f>SUM('Datos Ing. est. noil'!D34:D37)</f>
        <v>1095.5276040005915</v>
      </c>
      <c r="E33" s="40">
        <f>SUM('Datos Ing. est. noil'!E34:E37)</f>
        <v>575.87095964970706</v>
      </c>
      <c r="F33" s="40">
        <f>SUM('Datos Ing. est. noil'!F34:F37)</f>
        <v>64.602328239999991</v>
      </c>
      <c r="G33" s="40">
        <f>SUM('Datos Ing. est. noil'!G33:G36)</f>
        <v>732.49247098888884</v>
      </c>
      <c r="H33" s="40">
        <f t="shared" si="39"/>
        <v>4800.4635828791879</v>
      </c>
      <c r="J33" s="31" t="s">
        <v>25</v>
      </c>
      <c r="K33" s="25">
        <v>48713.797589055801</v>
      </c>
      <c r="L33" s="25">
        <f>+SUM('Datos Ing. est. noil'!K34:K37)</f>
        <v>48826.254999999997</v>
      </c>
      <c r="M33" s="26">
        <f t="shared" si="40"/>
        <v>0.99769678401621842</v>
      </c>
      <c r="N33" s="25">
        <f>+SUM('Datos Ing. est. noil'!L34:L37)</f>
        <v>44467.63</v>
      </c>
      <c r="O33" s="26">
        <f t="shared" si="69"/>
        <v>3.5058535249171241E-2</v>
      </c>
      <c r="P33" s="86"/>
      <c r="Q33" s="31" t="s">
        <v>25</v>
      </c>
      <c r="R33" s="233">
        <f t="shared" si="38"/>
        <v>2099.1580200000003</v>
      </c>
      <c r="S33" s="234">
        <f t="shared" si="48"/>
        <v>3.9506822984442802E-2</v>
      </c>
      <c r="T33" s="234">
        <f t="shared" si="49"/>
        <v>1.1268817337534578</v>
      </c>
      <c r="U33" s="234">
        <f t="shared" si="50"/>
        <v>2093.7105526983128</v>
      </c>
      <c r="W33" s="1" t="s">
        <v>25</v>
      </c>
      <c r="X33" s="17">
        <f t="shared" si="41"/>
        <v>232.81220000000002</v>
      </c>
      <c r="Y33" s="12">
        <f t="shared" si="51"/>
        <v>1.9782212566142317E-2</v>
      </c>
      <c r="Z33" s="12">
        <f t="shared" si="52"/>
        <v>0.56426238077387891</v>
      </c>
      <c r="AA33" s="12">
        <f t="shared" si="53"/>
        <v>232.50948104759581</v>
      </c>
      <c r="AC33" s="1" t="s">
        <v>25</v>
      </c>
      <c r="AD33" s="17">
        <f t="shared" si="42"/>
        <v>1095.5276040005915</v>
      </c>
      <c r="AE33" s="12">
        <f t="shared" si="54"/>
        <v>0.12990456657348445</v>
      </c>
      <c r="AF33" s="12">
        <f t="shared" si="55"/>
        <v>3.7053620651922503</v>
      </c>
      <c r="AG33" s="40">
        <f t="shared" si="56"/>
        <v>1086.2071889122772</v>
      </c>
      <c r="AI33" s="1" t="s">
        <v>25</v>
      </c>
      <c r="AJ33" s="17">
        <f t="shared" si="43"/>
        <v>575.87095964970706</v>
      </c>
      <c r="AK33" s="12">
        <f t="shared" si="57"/>
        <v>2.5659480935685441E-2</v>
      </c>
      <c r="AL33" s="12">
        <f t="shared" si="58"/>
        <v>0.73190396442167427</v>
      </c>
      <c r="AM33" s="10">
        <f t="shared" si="59"/>
        <v>574.89989501389152</v>
      </c>
      <c r="AN33" s="126">
        <v>563.498242802243</v>
      </c>
      <c r="AO33" s="1" t="s">
        <v>25</v>
      </c>
      <c r="AP33" s="17">
        <f t="shared" si="44"/>
        <v>64.602328239999991</v>
      </c>
      <c r="AQ33" s="12">
        <f t="shared" si="60"/>
        <v>6.5380735707322279E-2</v>
      </c>
      <c r="AR33" s="12">
        <f t="shared" si="61"/>
        <v>1.8649020913920764</v>
      </c>
      <c r="AS33" s="12">
        <f t="shared" si="62"/>
        <v>64.325120059819128</v>
      </c>
      <c r="AT33" s="125">
        <v>64.724330965487198</v>
      </c>
      <c r="AU33" s="1" t="s">
        <v>25</v>
      </c>
      <c r="AV33" s="17">
        <f t="shared" si="45"/>
        <v>732.49247098888884</v>
      </c>
      <c r="AW33" s="12">
        <f t="shared" si="63"/>
        <v>-1.4571345080392376E-2</v>
      </c>
      <c r="AX33" s="12">
        <f t="shared" si="64"/>
        <v>-0.4156290323263529</v>
      </c>
      <c r="AY33" s="12">
        <f t="shared" si="65"/>
        <v>733.19481915442623</v>
      </c>
      <c r="AZ33" s="223">
        <v>791.36513598669205</v>
      </c>
      <c r="BA33" s="1" t="s">
        <v>25</v>
      </c>
      <c r="BB33" s="12">
        <f t="shared" si="46"/>
        <v>4800.4635828791879</v>
      </c>
      <c r="BC33" s="12">
        <f t="shared" si="66"/>
        <v>4.7524178687148533E-2</v>
      </c>
      <c r="BD33" s="12">
        <f t="shared" si="67"/>
        <v>1.3555665788482127</v>
      </c>
      <c r="BE33" s="12">
        <f t="shared" si="68"/>
        <v>4785.4818951177558</v>
      </c>
      <c r="BF33" s="126">
        <v>4728.65164964623</v>
      </c>
      <c r="BH33" s="238" t="s">
        <v>25</v>
      </c>
      <c r="BI33" s="241">
        <f t="shared" si="30"/>
        <v>2093.7105526983128</v>
      </c>
      <c r="BJ33" s="241">
        <f t="shared" si="31"/>
        <v>232.50948104759581</v>
      </c>
      <c r="BK33" s="241">
        <f t="shared" si="32"/>
        <v>1086.2071889122772</v>
      </c>
      <c r="BL33" s="245">
        <f t="shared" si="33"/>
        <v>574.89989501389152</v>
      </c>
      <c r="BM33" s="241">
        <f t="shared" si="34"/>
        <v>64.325120059819128</v>
      </c>
      <c r="BN33" s="241">
        <f t="shared" si="35"/>
        <v>733.19481915442623</v>
      </c>
      <c r="BO33" s="241">
        <f>+SUM(BI33:BN33)</f>
        <v>4784.8470568863231</v>
      </c>
      <c r="BP33" s="228">
        <v>4730.25580840778</v>
      </c>
    </row>
    <row r="34" spans="1:68" x14ac:dyDescent="0.25">
      <c r="A34" s="1" t="s">
        <v>26</v>
      </c>
      <c r="B34" s="40">
        <f>SUM('Datos Ing. est. noil'!B35:B38)</f>
        <v>2168.8223399999997</v>
      </c>
      <c r="C34" s="40">
        <f>SUM('Datos Ing. est. noil'!C35:C38)</f>
        <v>251.96519999999998</v>
      </c>
      <c r="D34" s="40">
        <f>SUM('Datos Ing. est. noil'!D35:D38)</f>
        <v>1099.7872303081133</v>
      </c>
      <c r="E34" s="40">
        <f>SUM('Datos Ing. est. noil'!E35:E38)</f>
        <v>601.41307539152126</v>
      </c>
      <c r="F34" s="40">
        <f>SUM('Datos Ing. est. noil'!F35:F38)</f>
        <v>67.319929540000004</v>
      </c>
      <c r="G34" s="40">
        <f>SUM('Datos Ing. est. noil'!G34:G37)</f>
        <v>768.10846156222215</v>
      </c>
      <c r="H34" s="40">
        <f t="shared" si="39"/>
        <v>4957.4162368018569</v>
      </c>
      <c r="J34" s="31" t="s">
        <v>26</v>
      </c>
      <c r="K34" s="25">
        <v>49221.167507964899</v>
      </c>
      <c r="L34" s="25">
        <f>+SUM('Datos Ing. est. noil'!K35:K38)</f>
        <v>49467.333999999995</v>
      </c>
      <c r="M34" s="26">
        <f t="shared" si="40"/>
        <v>0.99502365556965133</v>
      </c>
      <c r="N34" s="25">
        <f>+SUM('Datos Ing. est. noil'!L35:L38)</f>
        <v>45763.39</v>
      </c>
      <c r="O34" s="26">
        <f t="shared" si="69"/>
        <v>2.913939870418103E-2</v>
      </c>
      <c r="P34" s="86"/>
      <c r="Q34" s="31" t="s">
        <v>26</v>
      </c>
      <c r="R34" s="233">
        <f t="shared" si="38"/>
        <v>2168.8223399999997</v>
      </c>
      <c r="S34" s="234">
        <f t="shared" si="48"/>
        <v>3.3186791721377604E-2</v>
      </c>
      <c r="T34" s="234">
        <f t="shared" si="49"/>
        <v>1.1388976161891713</v>
      </c>
      <c r="U34" s="234">
        <f t="shared" si="50"/>
        <v>2156.5346920454981</v>
      </c>
      <c r="W34" s="1" t="s">
        <v>26</v>
      </c>
      <c r="X34" s="17">
        <f t="shared" si="41"/>
        <v>251.96519999999998</v>
      </c>
      <c r="Y34" s="12">
        <f t="shared" si="51"/>
        <v>8.226802547289172E-2</v>
      </c>
      <c r="Z34" s="12">
        <f t="shared" si="52"/>
        <v>2.823257484070445</v>
      </c>
      <c r="AA34" s="12">
        <f t="shared" si="53"/>
        <v>248.44125199211339</v>
      </c>
      <c r="AC34" s="1" t="s">
        <v>26</v>
      </c>
      <c r="AD34" s="17">
        <f t="shared" si="42"/>
        <v>1099.7872303081133</v>
      </c>
      <c r="AE34" s="12">
        <f t="shared" si="54"/>
        <v>3.8881962371068515E-3</v>
      </c>
      <c r="AF34" s="12">
        <f t="shared" si="55"/>
        <v>0.13343433323999779</v>
      </c>
      <c r="AG34" s="40">
        <f t="shared" si="56"/>
        <v>1099.0553753824727</v>
      </c>
      <c r="AI34" s="1" t="s">
        <v>26</v>
      </c>
      <c r="AJ34" s="17">
        <f t="shared" si="43"/>
        <v>601.41307539152126</v>
      </c>
      <c r="AK34" s="12">
        <f t="shared" si="57"/>
        <v>4.4353887470469172E-2</v>
      </c>
      <c r="AL34" s="12">
        <f t="shared" si="58"/>
        <v>1.522127752900581</v>
      </c>
      <c r="AM34" s="10">
        <f t="shared" si="59"/>
        <v>596.86351561314052</v>
      </c>
      <c r="AN34" s="126">
        <v>579.55854872120506</v>
      </c>
      <c r="AO34" s="1" t="s">
        <v>26</v>
      </c>
      <c r="AP34" s="17">
        <f t="shared" si="44"/>
        <v>67.319929540000004</v>
      </c>
      <c r="AQ34" s="12">
        <f t="shared" si="60"/>
        <v>4.2066615461659913E-2</v>
      </c>
      <c r="AR34" s="12">
        <f t="shared" si="61"/>
        <v>1.4436336140190853</v>
      </c>
      <c r="AS34" s="12">
        <f t="shared" si="62"/>
        <v>66.836836287644886</v>
      </c>
      <c r="AT34" s="125">
        <v>65.608285877191605</v>
      </c>
      <c r="AU34" s="1" t="s">
        <v>26</v>
      </c>
      <c r="AV34" s="17">
        <f t="shared" si="45"/>
        <v>768.10846156222215</v>
      </c>
      <c r="AW34" s="12">
        <f t="shared" si="63"/>
        <v>4.862301250038864E-2</v>
      </c>
      <c r="AX34" s="12">
        <f t="shared" si="64"/>
        <v>1.6686347235233796</v>
      </c>
      <c r="AY34" s="12">
        <f t="shared" si="65"/>
        <v>761.7409354960414</v>
      </c>
      <c r="AZ34" s="223">
        <v>899.20933452069198</v>
      </c>
      <c r="BA34" s="1" t="s">
        <v>26</v>
      </c>
      <c r="BB34" s="12">
        <f t="shared" si="46"/>
        <v>4957.4162368018569</v>
      </c>
      <c r="BC34" s="12">
        <f t="shared" si="66"/>
        <v>3.2695311861637544E-2</v>
      </c>
      <c r="BD34" s="12">
        <f t="shared" si="67"/>
        <v>1.1220311096174507</v>
      </c>
      <c r="BE34" s="12">
        <f t="shared" si="68"/>
        <v>4929.7443587108792</v>
      </c>
      <c r="BF34" s="126">
        <v>4983.5971572241697</v>
      </c>
      <c r="BH34" s="238" t="s">
        <v>26</v>
      </c>
      <c r="BI34" s="241">
        <f t="shared" si="30"/>
        <v>2156.5346920454981</v>
      </c>
      <c r="BJ34" s="241">
        <f t="shared" si="31"/>
        <v>248.44125199211339</v>
      </c>
      <c r="BK34" s="241">
        <f t="shared" si="32"/>
        <v>1099.0553753824727</v>
      </c>
      <c r="BL34" s="245">
        <f t="shared" si="33"/>
        <v>596.86351561314052</v>
      </c>
      <c r="BM34" s="241">
        <f t="shared" si="34"/>
        <v>66.836836287644886</v>
      </c>
      <c r="BN34" s="241">
        <f t="shared" si="35"/>
        <v>761.7409354960414</v>
      </c>
      <c r="BO34" s="241">
        <f t="shared" si="70"/>
        <v>4929.4726068169111</v>
      </c>
      <c r="BP34" s="228">
        <v>4984.8544496927898</v>
      </c>
    </row>
    <row r="35" spans="1:68" x14ac:dyDescent="0.25">
      <c r="A35" s="1" t="s">
        <v>27</v>
      </c>
      <c r="B35" s="40">
        <f>SUM('Datos Ing. est. noil'!B36:B39)</f>
        <v>2228.2236000000003</v>
      </c>
      <c r="C35" s="40">
        <f>SUM('Datos Ing. est. noil'!C36:C39)</f>
        <v>257.36149999999998</v>
      </c>
      <c r="D35" s="40">
        <f>SUM('Datos Ing. est. noil'!D36:D39)</f>
        <v>1115.6769389275285</v>
      </c>
      <c r="E35" s="40">
        <f>SUM('Datos Ing. est. noil'!E36:E39)</f>
        <v>618.19360512925414</v>
      </c>
      <c r="F35" s="40">
        <f>SUM('Datos Ing. est. noil'!F36:F39)</f>
        <v>72.137686880000004</v>
      </c>
      <c r="G35" s="40">
        <f>SUM('Datos Ing. est. noil'!G35:G38)</f>
        <v>876.3853565188889</v>
      </c>
      <c r="H35" s="40">
        <f t="shared" si="39"/>
        <v>5167.9786874556721</v>
      </c>
      <c r="J35" s="31" t="s">
        <v>27</v>
      </c>
      <c r="K35" s="25">
        <v>49705.680369271497</v>
      </c>
      <c r="L35" s="25">
        <f>+SUM('Datos Ing. est. noil'!K36:K39)</f>
        <v>49914.614999999998</v>
      </c>
      <c r="M35" s="26">
        <f t="shared" si="40"/>
        <v>0.99581415922513872</v>
      </c>
      <c r="N35" s="25">
        <f>+SUM('Datos Ing. est. noil'!L36:L39)</f>
        <v>46802.044000000002</v>
      </c>
      <c r="O35" s="26">
        <f t="shared" si="69"/>
        <v>2.2696177009614127E-2</v>
      </c>
      <c r="P35" s="86"/>
      <c r="Q35" s="31" t="s">
        <v>27</v>
      </c>
      <c r="R35" s="233">
        <f t="shared" si="38"/>
        <v>2228.2236000000003</v>
      </c>
      <c r="S35" s="234">
        <f t="shared" si="48"/>
        <v>2.7388716403576218E-2</v>
      </c>
      <c r="T35" s="234">
        <f t="shared" si="49"/>
        <v>1.2067546173954462</v>
      </c>
      <c r="U35" s="234">
        <f t="shared" si="50"/>
        <v>2216.9730885586996</v>
      </c>
      <c r="W35" s="1" t="s">
        <v>27</v>
      </c>
      <c r="X35" s="17">
        <f t="shared" si="41"/>
        <v>257.36149999999998</v>
      </c>
      <c r="Y35" s="12">
        <f t="shared" si="51"/>
        <v>2.141684645339911E-2</v>
      </c>
      <c r="Z35" s="12">
        <f t="shared" si="52"/>
        <v>0.94363233263147839</v>
      </c>
      <c r="AA35" s="12">
        <f t="shared" si="53"/>
        <v>256.34482907387121</v>
      </c>
      <c r="AC35" s="1" t="s">
        <v>27</v>
      </c>
      <c r="AD35" s="17">
        <f t="shared" si="42"/>
        <v>1115.6769389275285</v>
      </c>
      <c r="AE35" s="12">
        <f t="shared" si="54"/>
        <v>1.444798428416335E-2</v>
      </c>
      <c r="AF35" s="12">
        <f t="shared" si="55"/>
        <v>0.63658228775899861</v>
      </c>
      <c r="AG35" s="40">
        <f t="shared" si="56"/>
        <v>1112.7018048576028</v>
      </c>
      <c r="AI35" s="1" t="s">
        <v>27</v>
      </c>
      <c r="AJ35" s="17">
        <f t="shared" si="43"/>
        <v>618.19360512925414</v>
      </c>
      <c r="AK35" s="12">
        <f t="shared" si="57"/>
        <v>2.7901837230274243E-2</v>
      </c>
      <c r="AL35" s="12">
        <f t="shared" si="58"/>
        <v>1.2293628666385088</v>
      </c>
      <c r="AM35" s="10">
        <f t="shared" si="59"/>
        <v>615.01396074459728</v>
      </c>
      <c r="AN35" s="126">
        <v>595.74236545604401</v>
      </c>
      <c r="AO35" s="1" t="s">
        <v>27</v>
      </c>
      <c r="AP35" s="17">
        <f t="shared" si="44"/>
        <v>72.137686880000004</v>
      </c>
      <c r="AQ35" s="12">
        <f t="shared" si="60"/>
        <v>7.1565097778918438E-2</v>
      </c>
      <c r="AR35" s="12">
        <f t="shared" si="61"/>
        <v>3.1531785176245046</v>
      </c>
      <c r="AS35" s="12">
        <f t="shared" si="62"/>
        <v>71.189846738975504</v>
      </c>
      <c r="AT35" s="125">
        <v>67.518489651325694</v>
      </c>
      <c r="AU35" s="1" t="s">
        <v>27</v>
      </c>
      <c r="AV35" s="17">
        <f t="shared" si="45"/>
        <v>876.3853565188889</v>
      </c>
      <c r="AW35" s="12">
        <f t="shared" si="63"/>
        <v>0.14096563229683359</v>
      </c>
      <c r="AX35" s="12">
        <f t="shared" si="64"/>
        <v>6.2109857636870025</v>
      </c>
      <c r="AY35" s="12">
        <f t="shared" si="65"/>
        <v>853.84795301442477</v>
      </c>
      <c r="AZ35" s="223">
        <v>1023.41296716913</v>
      </c>
      <c r="BA35" s="1" t="s">
        <v>27</v>
      </c>
      <c r="BB35" s="12">
        <f t="shared" si="46"/>
        <v>5167.9786874556721</v>
      </c>
      <c r="BC35" s="12">
        <f t="shared" si="66"/>
        <v>4.2474232663919587E-2</v>
      </c>
      <c r="BD35" s="12">
        <f t="shared" si="67"/>
        <v>1.8714267449503699</v>
      </c>
      <c r="BE35" s="12">
        <f t="shared" si="68"/>
        <v>5127.5692033184077</v>
      </c>
      <c r="BF35" s="126">
        <v>5266.8926267115403</v>
      </c>
      <c r="BH35" s="238" t="s">
        <v>27</v>
      </c>
      <c r="BI35" s="241">
        <f t="shared" si="30"/>
        <v>2216.9730885586996</v>
      </c>
      <c r="BJ35" s="241">
        <f t="shared" si="31"/>
        <v>256.34482907387121</v>
      </c>
      <c r="BK35" s="241">
        <f t="shared" si="32"/>
        <v>1112.7018048576028</v>
      </c>
      <c r="BL35" s="245">
        <f t="shared" si="33"/>
        <v>615.01396074459728</v>
      </c>
      <c r="BM35" s="241">
        <f t="shared" si="34"/>
        <v>71.189846738975504</v>
      </c>
      <c r="BN35" s="241">
        <f t="shared" si="35"/>
        <v>853.84795301442477</v>
      </c>
      <c r="BO35" s="241">
        <f t="shared" si="70"/>
        <v>5126.0714829881717</v>
      </c>
      <c r="BP35" s="228">
        <v>5267.8300001754696</v>
      </c>
    </row>
    <row r="36" spans="1:68" x14ac:dyDescent="0.25">
      <c r="A36" s="1" t="s">
        <v>28</v>
      </c>
      <c r="B36" s="40">
        <f>SUM('Datos Ing. est. noil'!B37:B40)</f>
        <v>2296.1187</v>
      </c>
      <c r="C36" s="40">
        <f>SUM('Datos Ing. est. noil'!C37:C40)</f>
        <v>252.94326666666666</v>
      </c>
      <c r="D36" s="40">
        <f>SUM('Datos Ing. est. noil'!D37:D40)</f>
        <v>1124.7197353165138</v>
      </c>
      <c r="E36" s="40">
        <f>SUM('Datos Ing. est. noil'!E37:E40)</f>
        <v>628.1628130956542</v>
      </c>
      <c r="F36" s="40">
        <f>SUM('Datos Ing. est. noil'!F37:F40)</f>
        <v>73.657929610000011</v>
      </c>
      <c r="G36" s="40">
        <f>SUM('Datos Ing. est. noil'!G36:G39)</f>
        <v>932.47042519323327</v>
      </c>
      <c r="H36" s="40">
        <f t="shared" si="39"/>
        <v>5308.0728698820676</v>
      </c>
      <c r="J36" s="31" t="s">
        <v>28</v>
      </c>
      <c r="K36" s="25">
        <v>50172.802769208</v>
      </c>
      <c r="L36" s="25">
        <f>+SUM('Datos Ing. est. noil'!K37:K40)</f>
        <v>50185.183999999994</v>
      </c>
      <c r="M36" s="26">
        <f t="shared" si="40"/>
        <v>0.99975328912230366</v>
      </c>
      <c r="N36" s="25">
        <f>+SUM('Datos Ing. est. noil'!L37:L40)</f>
        <v>47461.555999999997</v>
      </c>
      <c r="O36" s="26">
        <f t="shared" si="69"/>
        <v>1.4091521301932808E-2</v>
      </c>
      <c r="P36" s="86"/>
      <c r="Q36" s="31" t="s">
        <v>28</v>
      </c>
      <c r="R36" s="233">
        <f t="shared" si="38"/>
        <v>2296.1187</v>
      </c>
      <c r="S36" s="234">
        <f t="shared" si="48"/>
        <v>3.0470505742780808E-2</v>
      </c>
      <c r="T36" s="234">
        <f t="shared" si="49"/>
        <v>2.1623290409816462</v>
      </c>
      <c r="U36" s="234">
        <f t="shared" si="50"/>
        <v>2294.8939649625408</v>
      </c>
      <c r="W36" s="1" t="s">
        <v>28</v>
      </c>
      <c r="X36" s="17">
        <f t="shared" si="41"/>
        <v>252.94326666666666</v>
      </c>
      <c r="Y36" s="12">
        <f t="shared" si="51"/>
        <v>-1.7167421441564957E-2</v>
      </c>
      <c r="Z36" s="12">
        <f t="shared" si="52"/>
        <v>-1.2182802036576601</v>
      </c>
      <c r="AA36" s="12">
        <f t="shared" si="53"/>
        <v>253.01931285710228</v>
      </c>
      <c r="AC36" s="1" t="s">
        <v>28</v>
      </c>
      <c r="AD36" s="17">
        <f t="shared" si="42"/>
        <v>1124.7197353165138</v>
      </c>
      <c r="AE36" s="12">
        <f t="shared" si="54"/>
        <v>8.1052104542718145E-3</v>
      </c>
      <c r="AF36" s="12">
        <f t="shared" si="55"/>
        <v>0.57518349371973732</v>
      </c>
      <c r="AG36" s="40">
        <f t="shared" si="56"/>
        <v>1124.5601246948715</v>
      </c>
      <c r="AI36" s="1" t="s">
        <v>28</v>
      </c>
      <c r="AJ36" s="17">
        <f t="shared" si="43"/>
        <v>628.1628130956542</v>
      </c>
      <c r="AK36" s="12">
        <f t="shared" si="57"/>
        <v>1.612635246253585E-2</v>
      </c>
      <c r="AL36" s="12">
        <f t="shared" si="58"/>
        <v>1.1444010988596343</v>
      </c>
      <c r="AM36" s="10">
        <f t="shared" si="59"/>
        <v>627.98546315366775</v>
      </c>
      <c r="AN36" s="126">
        <v>612.62652617516301</v>
      </c>
      <c r="AO36" s="1" t="s">
        <v>28</v>
      </c>
      <c r="AP36" s="17">
        <f t="shared" si="44"/>
        <v>73.657929610000011</v>
      </c>
      <c r="AQ36" s="12">
        <f t="shared" si="60"/>
        <v>2.1074181828548349E-2</v>
      </c>
      <c r="AR36" s="12">
        <f t="shared" si="61"/>
        <v>1.4955221212104184</v>
      </c>
      <c r="AS36" s="12">
        <f t="shared" si="62"/>
        <v>73.630754325538902</v>
      </c>
      <c r="AT36" s="125">
        <v>70.782451544340205</v>
      </c>
      <c r="AU36" s="1" t="s">
        <v>28</v>
      </c>
      <c r="AV36" s="17">
        <f t="shared" si="45"/>
        <v>932.47042519323327</v>
      </c>
      <c r="AW36" s="12">
        <f t="shared" si="63"/>
        <v>6.3995898901279227E-2</v>
      </c>
      <c r="AX36" s="12">
        <f t="shared" si="64"/>
        <v>4.5414471248396353</v>
      </c>
      <c r="AY36" s="12">
        <f t="shared" si="65"/>
        <v>931.42611888704232</v>
      </c>
      <c r="AZ36" s="223">
        <v>1162.9948765597101</v>
      </c>
      <c r="BA36" s="1" t="s">
        <v>28</v>
      </c>
      <c r="BB36" s="12">
        <f t="shared" si="46"/>
        <v>5308.0728698820676</v>
      </c>
      <c r="BC36" s="12">
        <f t="shared" si="66"/>
        <v>2.7108119227822858E-2</v>
      </c>
      <c r="BD36" s="12">
        <f t="shared" si="67"/>
        <v>1.9237184294718186</v>
      </c>
      <c r="BE36" s="12">
        <f>BB36*((M36)^BD36)</f>
        <v>5305.5539335466829</v>
      </c>
      <c r="BF36" s="126">
        <v>5581.4492382784701</v>
      </c>
      <c r="BH36" s="238" t="s">
        <v>28</v>
      </c>
      <c r="BI36" s="241">
        <f t="shared" ref="BI36:BI67" si="71">+U36</f>
        <v>2294.8939649625408</v>
      </c>
      <c r="BJ36" s="241">
        <f t="shared" ref="BJ36:BJ67" si="72">+AA36</f>
        <v>253.01931285710228</v>
      </c>
      <c r="BK36" s="241">
        <f t="shared" ref="BK36:BK67" si="73">+AG36</f>
        <v>1124.5601246948715</v>
      </c>
      <c r="BL36" s="245">
        <f t="shared" ref="BL36:BL67" si="74">AM36</f>
        <v>627.98546315366775</v>
      </c>
      <c r="BM36" s="241">
        <f t="shared" ref="BM36:BM67" si="75">AS36</f>
        <v>73.630754325538902</v>
      </c>
      <c r="BN36" s="241">
        <f t="shared" ref="BN36:BN67" si="76">AY36</f>
        <v>931.42611888704232</v>
      </c>
      <c r="BO36" s="241">
        <f>+SUM(BI36:BN36)</f>
        <v>5305.5157388807638</v>
      </c>
      <c r="BP36" s="228">
        <v>5582.1114673928996</v>
      </c>
    </row>
    <row r="37" spans="1:68" x14ac:dyDescent="0.25">
      <c r="A37" s="1" t="s">
        <v>29</v>
      </c>
      <c r="B37" s="40">
        <f>SUM('Datos Ing. est. noil'!B38:B41)</f>
        <v>2317.9787100000003</v>
      </c>
      <c r="C37" s="40">
        <f>SUM('Datos Ing. est. noil'!C38:C41)</f>
        <v>245.86666666666667</v>
      </c>
      <c r="D37" s="40">
        <f>SUM('Datos Ing. est. noil'!D38:D41)</f>
        <v>1075.1939871215113</v>
      </c>
      <c r="E37" s="40">
        <f>SUM('Datos Ing. est. noil'!E38:E41)</f>
        <v>634.61951845485419</v>
      </c>
      <c r="F37" s="40">
        <f>SUM('Datos Ing. est. noil'!F38:F41)</f>
        <v>71.703803719999996</v>
      </c>
      <c r="G37" s="40">
        <f>SUM('Datos Ing. est. noil'!G37:G40)</f>
        <v>1016.6309533607333</v>
      </c>
      <c r="H37" s="40">
        <f t="shared" si="39"/>
        <v>5361.9936393237667</v>
      </c>
      <c r="J37" s="31" t="s">
        <v>29</v>
      </c>
      <c r="K37" s="25">
        <v>50630.090500314</v>
      </c>
      <c r="L37" s="25">
        <f>+SUM('Datos Ing. est. noil'!K38:K41)</f>
        <v>50379.531999999992</v>
      </c>
      <c r="M37" s="26">
        <f t="shared" si="40"/>
        <v>1.0049734185762982</v>
      </c>
      <c r="N37" s="25">
        <f>+SUM('Datos Ing. est. noil'!L38:L41)</f>
        <v>48217.407000000007</v>
      </c>
      <c r="O37" s="26">
        <f t="shared" si="69"/>
        <v>1.5925541927028553E-2</v>
      </c>
      <c r="P37" s="86"/>
      <c r="Q37" s="31" t="s">
        <v>29</v>
      </c>
      <c r="R37" s="233">
        <f t="shared" si="38"/>
        <v>2317.9787100000003</v>
      </c>
      <c r="S37" s="234">
        <f t="shared" si="48"/>
        <v>9.5204180863995968E-3</v>
      </c>
      <c r="T37" s="234">
        <f t="shared" si="49"/>
        <v>0.59780810788245198</v>
      </c>
      <c r="U37" s="234">
        <f t="shared" si="50"/>
        <v>2324.863531633674</v>
      </c>
      <c r="W37" s="1" t="s">
        <v>29</v>
      </c>
      <c r="X37" s="17">
        <f t="shared" si="41"/>
        <v>245.86666666666667</v>
      </c>
      <c r="Y37" s="12">
        <f t="shared" si="51"/>
        <v>-2.7977024623967003E-2</v>
      </c>
      <c r="Z37" s="12">
        <f t="shared" si="52"/>
        <v>-1.7567392527148407</v>
      </c>
      <c r="AA37" s="12">
        <f t="shared" si="53"/>
        <v>243.73316444539918</v>
      </c>
      <c r="AC37" s="1" t="s">
        <v>29</v>
      </c>
      <c r="AD37" s="17">
        <f t="shared" si="42"/>
        <v>1075.1939871215113</v>
      </c>
      <c r="AE37" s="12">
        <f t="shared" si="54"/>
        <v>-4.4033857182265219E-2</v>
      </c>
      <c r="AF37" s="12">
        <f t="shared" si="55"/>
        <v>-2.7649832818267694</v>
      </c>
      <c r="AG37" s="40">
        <f t="shared" si="56"/>
        <v>1060.5458856671469</v>
      </c>
      <c r="AI37" s="1" t="s">
        <v>29</v>
      </c>
      <c r="AJ37" s="17">
        <f t="shared" si="43"/>
        <v>634.61951845485419</v>
      </c>
      <c r="AK37" s="12">
        <f t="shared" si="57"/>
        <v>1.0278713137093623E-2</v>
      </c>
      <c r="AL37" s="12">
        <f t="shared" si="58"/>
        <v>0.64542313123101769</v>
      </c>
      <c r="AM37" s="10">
        <f t="shared" si="59"/>
        <v>636.65482918534292</v>
      </c>
      <c r="AN37" s="126">
        <v>631.01234039240296</v>
      </c>
      <c r="AO37" s="1" t="s">
        <v>29</v>
      </c>
      <c r="AP37" s="17">
        <f t="shared" si="44"/>
        <v>71.703803719999996</v>
      </c>
      <c r="AQ37" s="12">
        <f t="shared" si="60"/>
        <v>-2.6529742287715846E-2</v>
      </c>
      <c r="AR37" s="12">
        <f t="shared" si="61"/>
        <v>-1.6658611938781203</v>
      </c>
      <c r="AS37" s="12">
        <f t="shared" si="62"/>
        <v>71.113650324773317</v>
      </c>
      <c r="AT37" s="125">
        <v>75.773895916172506</v>
      </c>
      <c r="AU37" s="1" t="s">
        <v>29</v>
      </c>
      <c r="AV37" s="17">
        <f t="shared" si="45"/>
        <v>1016.6309533607333</v>
      </c>
      <c r="AW37" s="12">
        <f t="shared" si="63"/>
        <v>9.0255439629690876E-2</v>
      </c>
      <c r="AX37" s="12">
        <f t="shared" si="64"/>
        <v>5.6673386716285563</v>
      </c>
      <c r="AY37" s="12">
        <f t="shared" si="65"/>
        <v>1045.6203670389323</v>
      </c>
      <c r="AZ37" s="223">
        <v>1315.5036756484201</v>
      </c>
      <c r="BA37" s="1" t="s">
        <v>29</v>
      </c>
      <c r="BB37" s="12">
        <f t="shared" si="46"/>
        <v>5361.9936393237667</v>
      </c>
      <c r="BC37" s="12">
        <f t="shared" si="66"/>
        <v>1.0158257198699117E-2</v>
      </c>
      <c r="BD37" s="12">
        <f t="shared" si="67"/>
        <v>0.63785943644772924</v>
      </c>
      <c r="BE37" s="192">
        <f t="shared" si="68"/>
        <v>5378.988433053788</v>
      </c>
      <c r="BF37" s="126">
        <v>5929.1892458279399</v>
      </c>
      <c r="BH37" s="238" t="s">
        <v>29</v>
      </c>
      <c r="BI37" s="241">
        <f t="shared" si="71"/>
        <v>2324.863531633674</v>
      </c>
      <c r="BJ37" s="241">
        <f t="shared" si="72"/>
        <v>243.73316444539918</v>
      </c>
      <c r="BK37" s="241">
        <f t="shared" si="73"/>
        <v>1060.5458856671469</v>
      </c>
      <c r="BL37" s="245">
        <f t="shared" si="74"/>
        <v>636.65482918534292</v>
      </c>
      <c r="BM37" s="241">
        <f t="shared" si="75"/>
        <v>71.113650324773317</v>
      </c>
      <c r="BN37" s="241">
        <f t="shared" si="76"/>
        <v>1045.6203670389323</v>
      </c>
      <c r="BO37" s="241">
        <f t="shared" si="70"/>
        <v>5382.5314282952695</v>
      </c>
      <c r="BP37" s="228">
        <v>5929.6295588803996</v>
      </c>
    </row>
    <row r="38" spans="1:68" x14ac:dyDescent="0.25">
      <c r="A38" s="1" t="s">
        <v>30</v>
      </c>
      <c r="B38" s="40">
        <f>SUM('Datos Ing. est. noil'!B39:B42)</f>
        <v>2400.8845500000002</v>
      </c>
      <c r="C38" s="40">
        <f>SUM('Datos Ing. est. noil'!C39:C42)</f>
        <v>220.02446666666665</v>
      </c>
      <c r="D38" s="40">
        <f>SUM('Datos Ing. est. noil'!D39:D42)</f>
        <v>1174.2610282825035</v>
      </c>
      <c r="E38" s="40">
        <f>SUM('Datos Ing. est. noil'!E39:E42)</f>
        <v>640.05666803145425</v>
      </c>
      <c r="F38" s="40">
        <f>SUM('Datos Ing. est. noil'!F39:F42)</f>
        <v>77.510702080000002</v>
      </c>
      <c r="G38" s="40">
        <f>SUM('Datos Ing. est. noil'!G38:G41)</f>
        <v>1401.6866960943444</v>
      </c>
      <c r="H38" s="40">
        <f t="shared" si="39"/>
        <v>5914.4241111549691</v>
      </c>
      <c r="J38" s="31" t="s">
        <v>30</v>
      </c>
      <c r="K38" s="25">
        <v>51085.223327437299</v>
      </c>
      <c r="L38" s="25">
        <f>+SUM('Datos Ing. est. noil'!K39:K42)</f>
        <v>50608.031999999999</v>
      </c>
      <c r="M38" s="26">
        <f t="shared" si="40"/>
        <v>1.0094291619053137</v>
      </c>
      <c r="N38" s="25">
        <f>+SUM('Datos Ing. est. noil'!L39:L42)</f>
        <v>49198.710999999996</v>
      </c>
      <c r="O38" s="26">
        <f t="shared" si="69"/>
        <v>2.0351654330976077E-2</v>
      </c>
      <c r="P38" s="86"/>
      <c r="Q38" s="31" t="s">
        <v>30</v>
      </c>
      <c r="R38" s="233">
        <f t="shared" si="38"/>
        <v>2400.8845500000002</v>
      </c>
      <c r="S38" s="234">
        <f t="shared" si="48"/>
        <v>3.5766437216327968E-2</v>
      </c>
      <c r="T38" s="234">
        <f t="shared" si="49"/>
        <v>1.7574216147082422</v>
      </c>
      <c r="U38" s="234">
        <f t="shared" si="50"/>
        <v>2440.8116005340462</v>
      </c>
      <c r="W38" s="1" t="s">
        <v>30</v>
      </c>
      <c r="X38" s="17">
        <f t="shared" si="41"/>
        <v>220.02446666666665</v>
      </c>
      <c r="Y38" s="12">
        <f t="shared" si="51"/>
        <v>-0.1051065618221259</v>
      </c>
      <c r="Z38" s="12">
        <f t="shared" si="52"/>
        <v>-5.1645217687364742</v>
      </c>
      <c r="AA38" s="12">
        <f t="shared" si="53"/>
        <v>209.6144296379432</v>
      </c>
      <c r="AC38" s="1" t="s">
        <v>30</v>
      </c>
      <c r="AD38" s="17">
        <f t="shared" si="42"/>
        <v>1174.2610282825035</v>
      </c>
      <c r="AE38" s="12">
        <f t="shared" si="54"/>
        <v>9.2138760398216654E-2</v>
      </c>
      <c r="AF38" s="12">
        <f t="shared" si="55"/>
        <v>4.5273351689143801</v>
      </c>
      <c r="AG38" s="40">
        <f t="shared" si="56"/>
        <v>1225.2292993056444</v>
      </c>
      <c r="AI38" s="1" t="s">
        <v>30</v>
      </c>
      <c r="AJ38" s="17">
        <f t="shared" si="43"/>
        <v>640.05666803145425</v>
      </c>
      <c r="AK38" s="12">
        <f t="shared" si="57"/>
        <v>8.5675738272882225E-3</v>
      </c>
      <c r="AL38" s="12">
        <f t="shared" si="58"/>
        <v>0.42097677603771078</v>
      </c>
      <c r="AM38" s="10">
        <f t="shared" si="59"/>
        <v>642.59044474633163</v>
      </c>
      <c r="AN38" s="126">
        <v>651.85645235985703</v>
      </c>
      <c r="AO38" s="1" t="s">
        <v>30</v>
      </c>
      <c r="AP38" s="17">
        <f t="shared" si="44"/>
        <v>77.510702080000002</v>
      </c>
      <c r="AQ38" s="12">
        <f t="shared" si="60"/>
        <v>8.0984523257311036E-2</v>
      </c>
      <c r="AR38" s="12">
        <f t="shared" si="61"/>
        <v>3.9792599628645018</v>
      </c>
      <c r="AS38" s="12">
        <f t="shared" si="62"/>
        <v>80.460092214941184</v>
      </c>
      <c r="AT38" s="125">
        <v>82.8953226113168</v>
      </c>
      <c r="AU38" s="1" t="s">
        <v>30</v>
      </c>
      <c r="AV38" s="17">
        <f t="shared" si="45"/>
        <v>1401.6866960943444</v>
      </c>
      <c r="AW38" s="12">
        <f t="shared" si="63"/>
        <v>0.37875665841248579</v>
      </c>
      <c r="AX38" s="12">
        <f t="shared" si="64"/>
        <v>18.610607877513043</v>
      </c>
      <c r="AY38" s="12">
        <f t="shared" si="65"/>
        <v>1669.1868091804533</v>
      </c>
      <c r="AZ38" s="223">
        <v>1476.1827286256801</v>
      </c>
      <c r="BA38" s="1" t="s">
        <v>30</v>
      </c>
      <c r="BB38" s="12">
        <f t="shared" si="46"/>
        <v>5914.4241111549691</v>
      </c>
      <c r="BC38" s="12">
        <f t="shared" si="66"/>
        <v>0.10302706586218036</v>
      </c>
      <c r="BD38" s="12">
        <f t="shared" si="67"/>
        <v>5.0623435415453581</v>
      </c>
      <c r="BE38" s="12">
        <f t="shared" si="68"/>
        <v>6202.2005056368689</v>
      </c>
      <c r="BF38" s="126">
        <v>6309.3014108801699</v>
      </c>
      <c r="BH38" s="238" t="s">
        <v>30</v>
      </c>
      <c r="BI38" s="241">
        <f t="shared" si="71"/>
        <v>2440.8116005340462</v>
      </c>
      <c r="BJ38" s="241">
        <f t="shared" si="72"/>
        <v>209.6144296379432</v>
      </c>
      <c r="BK38" s="241">
        <f t="shared" si="73"/>
        <v>1225.2292993056444</v>
      </c>
      <c r="BL38" s="245">
        <f t="shared" si="74"/>
        <v>642.59044474633163</v>
      </c>
      <c r="BM38" s="241">
        <f t="shared" si="75"/>
        <v>80.460092214941184</v>
      </c>
      <c r="BN38" s="241">
        <f t="shared" si="76"/>
        <v>1669.1868091804533</v>
      </c>
      <c r="BO38" s="241">
        <f t="shared" si="70"/>
        <v>6267.8926756193605</v>
      </c>
      <c r="BP38" s="228">
        <v>6309.5748674993702</v>
      </c>
    </row>
    <row r="39" spans="1:68" x14ac:dyDescent="0.25">
      <c r="A39" s="1" t="s">
        <v>31</v>
      </c>
      <c r="B39" s="40">
        <f>SUM('Datos Ing. est. noil'!B40:B43)</f>
        <v>2508.76926</v>
      </c>
      <c r="C39" s="40">
        <f>SUM('Datos Ing. est. noil'!C40:C43)</f>
        <v>219.80636666666669</v>
      </c>
      <c r="D39" s="40">
        <f>SUM('Datos Ing. est. noil'!D40:D43)</f>
        <v>1268.0165334736546</v>
      </c>
      <c r="E39" s="40">
        <f>SUM('Datos Ing. est. noil'!E40:E43)</f>
        <v>678.58192852125421</v>
      </c>
      <c r="F39" s="40">
        <f>SUM('Datos Ing. est. noil'!F40:F43)</f>
        <v>74.250447249999993</v>
      </c>
      <c r="G39" s="40">
        <f>SUM('Datos Ing. est. noil'!G39:G42)</f>
        <v>1721.9787423448445</v>
      </c>
      <c r="H39" s="40">
        <f t="shared" si="39"/>
        <v>6471.40327825642</v>
      </c>
      <c r="J39" s="31" t="s">
        <v>31</v>
      </c>
      <c r="K39" s="25">
        <v>51543.375110422399</v>
      </c>
      <c r="L39" s="25">
        <f>+SUM('Datos Ing. est. noil'!K40:K43)</f>
        <v>51007.777000000002</v>
      </c>
      <c r="M39" s="26">
        <f t="shared" si="40"/>
        <v>1.01050032253753</v>
      </c>
      <c r="N39" s="25">
        <f>+SUM('Datos Ing. est. noil'!L40:L43)</f>
        <v>51007.776999999995</v>
      </c>
      <c r="O39" s="26">
        <f t="shared" si="69"/>
        <v>3.6770597506101232E-2</v>
      </c>
      <c r="P39" s="86"/>
      <c r="Q39" s="31" t="s">
        <v>31</v>
      </c>
      <c r="R39" s="233">
        <f t="shared" si="38"/>
        <v>2508.76926</v>
      </c>
      <c r="S39" s="234">
        <f>(R39-R38)/R38</f>
        <v>4.4935400996270233E-2</v>
      </c>
      <c r="T39" s="234">
        <f t="shared" si="49"/>
        <v>1.2220470714084599</v>
      </c>
      <c r="U39" s="234">
        <f t="shared" si="50"/>
        <v>2540.9989346379652</v>
      </c>
      <c r="W39" s="1" t="s">
        <v>31</v>
      </c>
      <c r="X39" s="17">
        <f t="shared" si="41"/>
        <v>219.80636666666669</v>
      </c>
      <c r="Y39" s="12">
        <f t="shared" si="51"/>
        <v>-9.9125339697053792E-4</v>
      </c>
      <c r="Z39" s="12">
        <f t="shared" si="52"/>
        <v>-2.695777235618927E-2</v>
      </c>
      <c r="AA39" s="12">
        <f t="shared" si="53"/>
        <v>219.74448021807453</v>
      </c>
      <c r="AC39" s="1" t="s">
        <v>31</v>
      </c>
      <c r="AD39" s="17">
        <f t="shared" si="42"/>
        <v>1268.0165334736546</v>
      </c>
      <c r="AE39" s="12">
        <f t="shared" si="54"/>
        <v>7.9842132995148168E-2</v>
      </c>
      <c r="AF39" s="12">
        <f t="shared" si="55"/>
        <v>2.1713580526370344</v>
      </c>
      <c r="AG39" s="40">
        <f t="shared" si="56"/>
        <v>1297.1051617150219</v>
      </c>
      <c r="AI39" s="1" t="s">
        <v>31</v>
      </c>
      <c r="AJ39" s="17">
        <f t="shared" si="43"/>
        <v>678.58192852125421</v>
      </c>
      <c r="AK39" s="12">
        <f t="shared" si="57"/>
        <v>6.0190390029507074E-2</v>
      </c>
      <c r="AL39" s="12">
        <f t="shared" si="58"/>
        <v>1.636916289421728</v>
      </c>
      <c r="AM39" s="10">
        <f t="shared" si="59"/>
        <v>690.28444838995961</v>
      </c>
      <c r="AN39" s="126">
        <v>676.15158292569095</v>
      </c>
      <c r="AO39" s="1" t="s">
        <v>31</v>
      </c>
      <c r="AP39" s="17">
        <f t="shared" si="44"/>
        <v>74.250447249999993</v>
      </c>
      <c r="AQ39" s="12">
        <f t="shared" si="60"/>
        <v>-4.2061995860069083E-2</v>
      </c>
      <c r="AR39" s="12">
        <f t="shared" si="61"/>
        <v>-1.1439029744645803</v>
      </c>
      <c r="AS39" s="12">
        <f t="shared" si="62"/>
        <v>73.368528348519874</v>
      </c>
      <c r="AT39" s="125">
        <v>92.508492515105303</v>
      </c>
      <c r="AU39" s="1" t="s">
        <v>31</v>
      </c>
      <c r="AV39" s="17">
        <f t="shared" si="45"/>
        <v>1721.9787423448445</v>
      </c>
      <c r="AW39" s="12">
        <f t="shared" si="63"/>
        <v>0.22850473443385094</v>
      </c>
      <c r="AX39" s="12">
        <f t="shared" si="64"/>
        <v>6.214332916290954</v>
      </c>
      <c r="AY39" s="12">
        <f t="shared" si="65"/>
        <v>1837.4639896771218</v>
      </c>
      <c r="AZ39" s="223">
        <v>1637.2866629254099</v>
      </c>
      <c r="BA39" s="1" t="s">
        <v>31</v>
      </c>
      <c r="BB39" s="12">
        <f t="shared" si="46"/>
        <v>6471.40327825642</v>
      </c>
      <c r="BC39" s="12">
        <f t="shared" si="66"/>
        <v>9.4173017800829317E-2</v>
      </c>
      <c r="BD39" s="12">
        <f t="shared" si="67"/>
        <v>2.5610956630553385</v>
      </c>
      <c r="BE39" s="12">
        <f t="shared" si="68"/>
        <v>6646.8635518112342</v>
      </c>
      <c r="BF39" s="126">
        <v>6715.3026024970904</v>
      </c>
      <c r="BH39" s="238" t="s">
        <v>31</v>
      </c>
      <c r="BI39" s="241">
        <f t="shared" si="71"/>
        <v>2540.9989346379652</v>
      </c>
      <c r="BJ39" s="241">
        <f t="shared" si="72"/>
        <v>219.74448021807453</v>
      </c>
      <c r="BK39" s="241">
        <f t="shared" si="73"/>
        <v>1297.1051617150219</v>
      </c>
      <c r="BL39" s="245">
        <f t="shared" si="74"/>
        <v>690.28444838995961</v>
      </c>
      <c r="BM39" s="241">
        <f t="shared" si="75"/>
        <v>73.368528348519874</v>
      </c>
      <c r="BN39" s="241">
        <f t="shared" si="76"/>
        <v>1837.4639896771218</v>
      </c>
      <c r="BO39" s="241">
        <f t="shared" si="70"/>
        <v>6658.9655429866634</v>
      </c>
      <c r="BP39" s="228">
        <v>6715.4616905224102</v>
      </c>
    </row>
    <row r="40" spans="1:68" x14ac:dyDescent="0.25">
      <c r="A40" s="1" t="s">
        <v>32</v>
      </c>
      <c r="B40" s="40">
        <f>SUM('Datos Ing. est. noil'!B41:B44)</f>
        <v>2575.9444722030003</v>
      </c>
      <c r="C40" s="40">
        <f>SUM('Datos Ing. est. noil'!C41:C44)</f>
        <v>293.70659999999998</v>
      </c>
      <c r="D40" s="40">
        <f>SUM('Datos Ing. est. noil'!D41:D44)</f>
        <v>1497.5009502331145</v>
      </c>
      <c r="E40" s="40">
        <f>SUM('Datos Ing. est. noil'!E41:E44)</f>
        <v>701.89084095125418</v>
      </c>
      <c r="F40" s="40">
        <f>SUM('Datos Ing. est. noil'!F41:F44)</f>
        <v>93.961209010000005</v>
      </c>
      <c r="G40" s="40">
        <f>SUM('Datos Ing. est. noil'!G40:G43)</f>
        <v>1976.4786157517738</v>
      </c>
      <c r="H40" s="40">
        <f t="shared" si="39"/>
        <v>7139.4826881491426</v>
      </c>
      <c r="J40" s="31" t="s">
        <v>32</v>
      </c>
      <c r="K40" s="25">
        <v>52004.947475839297</v>
      </c>
      <c r="L40" s="25">
        <f>+SUM('Datos Ing. est. noil'!K41:K44)</f>
        <v>51662.682000000001</v>
      </c>
      <c r="M40" s="26">
        <f t="shared" si="40"/>
        <v>1.0066250040181672</v>
      </c>
      <c r="N40" s="25">
        <f>+SUM('Datos Ing. est. noil'!L41:L44)</f>
        <v>53541.546999999999</v>
      </c>
      <c r="O40" s="26">
        <f t="shared" si="69"/>
        <v>4.9674189878927688E-2</v>
      </c>
      <c r="P40" s="86"/>
      <c r="Q40" s="31" t="s">
        <v>32</v>
      </c>
      <c r="R40" s="233">
        <f t="shared" si="38"/>
        <v>2575.9444722030003</v>
      </c>
      <c r="S40" s="234">
        <f t="shared" si="48"/>
        <v>2.6776162030540916E-2</v>
      </c>
      <c r="T40" s="234">
        <f t="shared" si="49"/>
        <v>0.53903570638601683</v>
      </c>
      <c r="U40" s="234">
        <f t="shared" si="50"/>
        <v>2585.1294616312671</v>
      </c>
      <c r="W40" s="1" t="s">
        <v>32</v>
      </c>
      <c r="X40" s="17">
        <f t="shared" si="41"/>
        <v>293.70659999999998</v>
      </c>
      <c r="Y40" s="12">
        <f t="shared" si="51"/>
        <v>0.33620606379160056</v>
      </c>
      <c r="Z40" s="12">
        <f t="shared" si="52"/>
        <v>6.7682243960303152</v>
      </c>
      <c r="AA40" s="12">
        <f t="shared" si="53"/>
        <v>307.13056350632598</v>
      </c>
      <c r="AC40" s="1" t="s">
        <v>32</v>
      </c>
      <c r="AD40" s="17">
        <f t="shared" si="42"/>
        <v>1497.5009502331145</v>
      </c>
      <c r="AE40" s="12">
        <f t="shared" si="54"/>
        <v>0.1809790414410459</v>
      </c>
      <c r="AF40" s="12">
        <f t="shared" si="55"/>
        <v>3.6433214488681398</v>
      </c>
      <c r="AG40" s="40">
        <f t="shared" si="56"/>
        <v>1533.9637969637017</v>
      </c>
      <c r="AI40" s="1" t="s">
        <v>32</v>
      </c>
      <c r="AJ40" s="17">
        <f t="shared" si="43"/>
        <v>701.89084095125418</v>
      </c>
      <c r="AK40" s="12">
        <f t="shared" si="57"/>
        <v>3.4349444702711229E-2</v>
      </c>
      <c r="AL40" s="12">
        <f t="shared" si="58"/>
        <v>0.6914948142371744</v>
      </c>
      <c r="AM40" s="10">
        <f t="shared" si="59"/>
        <v>705.10303582599306</v>
      </c>
      <c r="AN40" s="126">
        <v>704.77248841447295</v>
      </c>
      <c r="AO40" s="1" t="s">
        <v>32</v>
      </c>
      <c r="AP40" s="17">
        <f t="shared" si="44"/>
        <v>93.961209010000005</v>
      </c>
      <c r="AQ40" s="12">
        <f t="shared" si="60"/>
        <v>0.26546320581254157</v>
      </c>
      <c r="AR40" s="12">
        <f t="shared" si="61"/>
        <v>5.3440872706643541</v>
      </c>
      <c r="AS40" s="12">
        <f t="shared" si="62"/>
        <v>97.336092835036624</v>
      </c>
      <c r="AT40" s="125">
        <v>104.921313286757</v>
      </c>
      <c r="AU40" s="1" t="s">
        <v>32</v>
      </c>
      <c r="AV40" s="17">
        <f t="shared" si="45"/>
        <v>1976.4786157517738</v>
      </c>
      <c r="AW40" s="12">
        <f t="shared" si="63"/>
        <v>0.14779501462391631</v>
      </c>
      <c r="AX40" s="12">
        <f t="shared" si="64"/>
        <v>2.9752878705046077</v>
      </c>
      <c r="AY40" s="12">
        <f t="shared" si="65"/>
        <v>2015.6930300944377</v>
      </c>
      <c r="AZ40" s="223">
        <v>1790.3251786952601</v>
      </c>
      <c r="BA40" s="1" t="s">
        <v>32</v>
      </c>
      <c r="BB40" s="12">
        <f t="shared" si="46"/>
        <v>7139.4826881491426</v>
      </c>
      <c r="BC40" s="12">
        <f t="shared" si="66"/>
        <v>0.10323563239173095</v>
      </c>
      <c r="BD40" s="12">
        <f t="shared" si="67"/>
        <v>2.0782549779543475</v>
      </c>
      <c r="BE40" s="12">
        <f t="shared" si="68"/>
        <v>7238.1334406672286</v>
      </c>
      <c r="BF40" s="126">
        <v>7136.7606756318301</v>
      </c>
      <c r="BH40" s="238" t="s">
        <v>32</v>
      </c>
      <c r="BI40" s="241">
        <f t="shared" si="71"/>
        <v>2585.1294616312671</v>
      </c>
      <c r="BJ40" s="241">
        <f t="shared" si="72"/>
        <v>307.13056350632598</v>
      </c>
      <c r="BK40" s="241">
        <f t="shared" si="73"/>
        <v>1533.9637969637017</v>
      </c>
      <c r="BL40" s="245">
        <f t="shared" si="74"/>
        <v>705.10303582599306</v>
      </c>
      <c r="BM40" s="241">
        <f t="shared" si="75"/>
        <v>97.336092835036624</v>
      </c>
      <c r="BN40" s="241">
        <f t="shared" si="76"/>
        <v>2015.6930300944377</v>
      </c>
      <c r="BO40" s="241">
        <f t="shared" si="70"/>
        <v>7244.3559808567625</v>
      </c>
      <c r="BP40" s="228">
        <v>7136.8525765471204</v>
      </c>
    </row>
    <row r="41" spans="1:68" x14ac:dyDescent="0.25">
      <c r="A41" s="1" t="s">
        <v>33</v>
      </c>
      <c r="B41" s="40">
        <f>SUM('Datos Ing. est. noil'!B42:B45)</f>
        <v>2643.0461949240002</v>
      </c>
      <c r="C41" s="40">
        <f>SUM('Datos Ing. est. noil'!C42:C45)</f>
        <v>336.5127</v>
      </c>
      <c r="D41" s="40">
        <f>SUM('Datos Ing. est. noil'!D42:D45)</f>
        <v>1803.7853871232576</v>
      </c>
      <c r="E41" s="40">
        <f>SUM('Datos Ing. est. noil'!E42:E45)</f>
        <v>743.02871529871663</v>
      </c>
      <c r="F41" s="40">
        <f>SUM('Datos Ing. est. noil'!F42:F45)</f>
        <v>108.91363204000001</v>
      </c>
      <c r="G41" s="40">
        <f>SUM('Datos Ing. est. noil'!G41:G44)</f>
        <v>2267.6146630512521</v>
      </c>
      <c r="H41" s="40">
        <f t="shared" si="39"/>
        <v>7902.9012924372264</v>
      </c>
      <c r="J41" s="31" t="s">
        <v>33</v>
      </c>
      <c r="K41" s="25">
        <v>52464.986299153999</v>
      </c>
      <c r="L41" s="25">
        <f>+SUM('Datos Ing. est. noil'!K42:K45)</f>
        <v>52459.264000000003</v>
      </c>
      <c r="M41" s="26">
        <f t="shared" si="40"/>
        <v>1.0001090808127617</v>
      </c>
      <c r="N41" s="25">
        <f>+SUM('Datos Ing. est. noil'!L42:L45)</f>
        <v>56847.435000000005</v>
      </c>
      <c r="O41" s="26">
        <f t="shared" si="69"/>
        <v>6.1744349672974597E-2</v>
      </c>
      <c r="P41" s="86"/>
      <c r="Q41" s="31" t="s">
        <v>33</v>
      </c>
      <c r="R41" s="233">
        <f t="shared" si="38"/>
        <v>2643.0461949240002</v>
      </c>
      <c r="S41" s="234">
        <f t="shared" si="48"/>
        <v>2.6049366919626657E-2</v>
      </c>
      <c r="T41" s="234">
        <f t="shared" si="49"/>
        <v>0.42189070024375724</v>
      </c>
      <c r="U41" s="234">
        <f t="shared" si="50"/>
        <v>2643.1678245519843</v>
      </c>
      <c r="W41" s="1" t="s">
        <v>33</v>
      </c>
      <c r="X41" s="17">
        <f t="shared" si="41"/>
        <v>336.5127</v>
      </c>
      <c r="Y41" s="12">
        <f t="shared" si="51"/>
        <v>0.14574442658081235</v>
      </c>
      <c r="Z41" s="12">
        <f t="shared" si="52"/>
        <v>2.3604496177016898</v>
      </c>
      <c r="AA41" s="12">
        <f t="shared" si="53"/>
        <v>336.59935163928247</v>
      </c>
      <c r="AC41" s="1" t="s">
        <v>33</v>
      </c>
      <c r="AD41" s="17">
        <f t="shared" si="42"/>
        <v>1803.7853871232576</v>
      </c>
      <c r="AE41" s="12">
        <f t="shared" si="54"/>
        <v>0.20453037899072055</v>
      </c>
      <c r="AF41" s="12">
        <f t="shared" si="55"/>
        <v>3.3125359660277249</v>
      </c>
      <c r="AG41" s="40">
        <f t="shared" si="56"/>
        <v>1804.4372385300132</v>
      </c>
      <c r="AI41" s="1" t="s">
        <v>33</v>
      </c>
      <c r="AJ41" s="17">
        <f t="shared" si="43"/>
        <v>743.02871529871663</v>
      </c>
      <c r="AK41" s="12">
        <f t="shared" si="57"/>
        <v>5.8610074312566013E-2</v>
      </c>
      <c r="AL41" s="12">
        <f t="shared" si="58"/>
        <v>0.94923785938293803</v>
      </c>
      <c r="AM41" s="10">
        <f t="shared" si="59"/>
        <v>743.10565098145128</v>
      </c>
      <c r="AN41" s="126">
        <v>738.61820932151397</v>
      </c>
      <c r="AO41" s="1" t="s">
        <v>33</v>
      </c>
      <c r="AP41" s="17">
        <f t="shared" si="44"/>
        <v>108.91363204000001</v>
      </c>
      <c r="AQ41" s="12">
        <f t="shared" si="60"/>
        <v>0.159133999951072</v>
      </c>
      <c r="AR41" s="12">
        <f t="shared" si="61"/>
        <v>2.5773046569267648</v>
      </c>
      <c r="AS41" s="12">
        <f t="shared" si="62"/>
        <v>108.94425405218308</v>
      </c>
      <c r="AT41" s="125">
        <v>120.25910766034001</v>
      </c>
      <c r="AU41" s="1" t="s">
        <v>33</v>
      </c>
      <c r="AV41" s="17">
        <f t="shared" si="45"/>
        <v>2267.6146630512521</v>
      </c>
      <c r="AW41" s="12">
        <f t="shared" si="63"/>
        <v>0.14730037804570015</v>
      </c>
      <c r="AX41" s="12">
        <f t="shared" si="64"/>
        <v>2.3856495181481083</v>
      </c>
      <c r="AY41" s="12">
        <f t="shared" si="65"/>
        <v>2268.2048058107002</v>
      </c>
      <c r="AZ41" s="223">
        <v>1927.6549094536499</v>
      </c>
      <c r="BA41" s="1" t="s">
        <v>33</v>
      </c>
      <c r="BB41" s="12">
        <f t="shared" si="46"/>
        <v>7902.9012924372264</v>
      </c>
      <c r="BC41" s="12">
        <f t="shared" si="66"/>
        <v>0.10692912044667957</v>
      </c>
      <c r="BD41" s="12">
        <f t="shared" si="67"/>
        <v>1.7318041409946581</v>
      </c>
      <c r="BE41" s="192">
        <f t="shared" si="68"/>
        <v>7904.3942622619415</v>
      </c>
      <c r="BF41" s="126">
        <v>7560.8044592125698</v>
      </c>
      <c r="BH41" s="238" t="s">
        <v>33</v>
      </c>
      <c r="BI41" s="241">
        <f t="shared" si="71"/>
        <v>2643.1678245519843</v>
      </c>
      <c r="BJ41" s="241">
        <f t="shared" si="72"/>
        <v>336.59935163928247</v>
      </c>
      <c r="BK41" s="241">
        <f t="shared" si="73"/>
        <v>1804.4372385300132</v>
      </c>
      <c r="BL41" s="245">
        <f t="shared" si="74"/>
        <v>743.10565098145128</v>
      </c>
      <c r="BM41" s="241">
        <f t="shared" si="75"/>
        <v>108.94425405218308</v>
      </c>
      <c r="BN41" s="241">
        <f t="shared" si="76"/>
        <v>2268.2048058107002</v>
      </c>
      <c r="BO41" s="241">
        <f t="shared" si="70"/>
        <v>7904.4591255656151</v>
      </c>
      <c r="BP41" s="228">
        <v>7560.8694572658796</v>
      </c>
    </row>
    <row r="42" spans="1:68" x14ac:dyDescent="0.25">
      <c r="A42" s="1" t="s">
        <v>34</v>
      </c>
      <c r="B42" s="40">
        <f>SUM('Datos Ing. est. noil'!B43:B46)</f>
        <v>2766.2450180400001</v>
      </c>
      <c r="C42" s="40">
        <f>SUM('Datos Ing. est. noil'!C43:C46)</f>
        <v>395.25859999999994</v>
      </c>
      <c r="D42" s="40">
        <f>SUM('Datos Ing. est. noil'!D43:D46)</f>
        <v>2102.2495982211149</v>
      </c>
      <c r="E42" s="40">
        <f>SUM('Datos Ing. est. noil'!E43:E46)</f>
        <v>780.47087503075568</v>
      </c>
      <c r="F42" s="40">
        <f>SUM('Datos Ing. est. noil'!F43:F46)</f>
        <v>123.22115605</v>
      </c>
      <c r="G42" s="40">
        <f>SUM('Datos Ing. est. noil'!G42:G45)</f>
        <v>1957.7803060387721</v>
      </c>
      <c r="H42" s="40">
        <f t="shared" si="39"/>
        <v>8125.2255533806429</v>
      </c>
      <c r="J42" s="31" t="s">
        <v>34</v>
      </c>
      <c r="K42" s="25">
        <v>52915.114981073901</v>
      </c>
      <c r="L42" s="25">
        <f>+SUM('Datos Ing. est. noil'!K43:K46)</f>
        <v>53327.000999999997</v>
      </c>
      <c r="M42" s="26">
        <f t="shared" si="40"/>
        <v>0.9922762200910924</v>
      </c>
      <c r="N42" s="25">
        <f>+SUM('Datos Ing. est. noil'!L43:L46)</f>
        <v>60137.862999999998</v>
      </c>
      <c r="O42" s="26">
        <f t="shared" si="69"/>
        <v>5.7881732042967204E-2</v>
      </c>
      <c r="P42" s="86"/>
      <c r="Q42" s="31" t="s">
        <v>34</v>
      </c>
      <c r="R42" s="233">
        <f t="shared" si="38"/>
        <v>2766.2450180400001</v>
      </c>
      <c r="S42" s="234">
        <f t="shared" si="48"/>
        <v>4.6612436571333703E-2</v>
      </c>
      <c r="T42" s="234">
        <f t="shared" si="49"/>
        <v>0.80530479870111704</v>
      </c>
      <c r="U42" s="234">
        <f t="shared" si="50"/>
        <v>2749.0260052249764</v>
      </c>
      <c r="W42" s="1" t="s">
        <v>34</v>
      </c>
      <c r="X42" s="17">
        <f t="shared" si="41"/>
        <v>395.25859999999994</v>
      </c>
      <c r="Y42" s="12">
        <f t="shared" si="51"/>
        <v>0.17457260899811494</v>
      </c>
      <c r="Z42" s="12">
        <f t="shared" si="52"/>
        <v>3.0160225486777916</v>
      </c>
      <c r="AA42" s="12">
        <f t="shared" si="53"/>
        <v>386.12251320886708</v>
      </c>
      <c r="AC42" s="1" t="s">
        <v>34</v>
      </c>
      <c r="AD42" s="17">
        <f t="shared" si="42"/>
        <v>2102.2495982211149</v>
      </c>
      <c r="AE42" s="12">
        <f t="shared" si="54"/>
        <v>0.16546547789360841</v>
      </c>
      <c r="AF42" s="12">
        <f t="shared" si="55"/>
        <v>2.8586822137730574</v>
      </c>
      <c r="AG42" s="40">
        <f t="shared" si="56"/>
        <v>2056.1647276822728</v>
      </c>
      <c r="AI42" s="1" t="s">
        <v>34</v>
      </c>
      <c r="AJ42" s="17">
        <f t="shared" si="43"/>
        <v>780.47087503075568</v>
      </c>
      <c r="AK42" s="12">
        <f t="shared" si="57"/>
        <v>5.0391268817903401E-2</v>
      </c>
      <c r="AL42" s="12">
        <f t="shared" si="58"/>
        <v>0.87059020245794605</v>
      </c>
      <c r="AM42" s="10">
        <f t="shared" si="59"/>
        <v>775.22016552967193</v>
      </c>
      <c r="AN42" s="126">
        <v>778.55896125798301</v>
      </c>
      <c r="AO42" s="1" t="s">
        <v>34</v>
      </c>
      <c r="AP42" s="17">
        <f t="shared" si="44"/>
        <v>123.22115605</v>
      </c>
      <c r="AQ42" s="12">
        <f t="shared" si="60"/>
        <v>0.13136577802074731</v>
      </c>
      <c r="AR42" s="12">
        <f t="shared" si="61"/>
        <v>2.2695550631282226</v>
      </c>
      <c r="AS42" s="12">
        <f t="shared" si="62"/>
        <v>121.07172831532522</v>
      </c>
      <c r="AT42" s="125">
        <v>138.53758523705599</v>
      </c>
      <c r="AU42" s="1" t="s">
        <v>34</v>
      </c>
      <c r="AV42" s="17">
        <f t="shared" si="45"/>
        <v>1957.7803060387721</v>
      </c>
      <c r="AW42" s="12">
        <f t="shared" si="63"/>
        <v>-0.13663448294851552</v>
      </c>
      <c r="AX42" s="12">
        <f t="shared" si="64"/>
        <v>-2.3605804133001405</v>
      </c>
      <c r="AY42" s="12">
        <f t="shared" si="65"/>
        <v>1993.9442556821523</v>
      </c>
      <c r="AZ42" s="223">
        <v>2043.49403693202</v>
      </c>
      <c r="BA42" s="1" t="s">
        <v>34</v>
      </c>
      <c r="BB42" s="12">
        <f t="shared" si="46"/>
        <v>8125.2255533806429</v>
      </c>
      <c r="BC42" s="12">
        <f t="shared" si="66"/>
        <v>2.8131979980082988E-2</v>
      </c>
      <c r="BD42" s="12">
        <f t="shared" si="67"/>
        <v>0.4860251928743225</v>
      </c>
      <c r="BE42" s="12">
        <f t="shared" si="68"/>
        <v>8094.6630693475799</v>
      </c>
      <c r="BF42" s="126">
        <v>7974.5901754111401</v>
      </c>
      <c r="BH42" s="238" t="s">
        <v>34</v>
      </c>
      <c r="BI42" s="241">
        <f t="shared" si="71"/>
        <v>2749.0260052249764</v>
      </c>
      <c r="BJ42" s="241">
        <f t="shared" si="72"/>
        <v>386.12251320886708</v>
      </c>
      <c r="BK42" s="241">
        <f t="shared" si="73"/>
        <v>2056.1647276822728</v>
      </c>
      <c r="BL42" s="245">
        <f t="shared" si="74"/>
        <v>775.22016552967193</v>
      </c>
      <c r="BM42" s="241">
        <f t="shared" si="75"/>
        <v>121.07172831532522</v>
      </c>
      <c r="BN42" s="241">
        <f t="shared" si="76"/>
        <v>1993.9442556821523</v>
      </c>
      <c r="BO42" s="241">
        <f t="shared" si="70"/>
        <v>8081.5493956432665</v>
      </c>
      <c r="BP42" s="228">
        <v>7974.6607386056003</v>
      </c>
    </row>
    <row r="43" spans="1:68" x14ac:dyDescent="0.25">
      <c r="A43" s="1" t="s">
        <v>35</v>
      </c>
      <c r="B43" s="40">
        <f>SUM('Datos Ing. est. noil'!B44:B47)</f>
        <v>2824.9175580399997</v>
      </c>
      <c r="C43" s="40">
        <f>SUM('Datos Ing. est. noil'!C44:C47)</f>
        <v>473.60269999999997</v>
      </c>
      <c r="D43" s="40">
        <f>SUM('Datos Ing. est. noil'!D44:D47)</f>
        <v>2338.6409273700001</v>
      </c>
      <c r="E43" s="40">
        <f>SUM('Datos Ing. est. noil'!E44:E47)</f>
        <v>789.25993482134868</v>
      </c>
      <c r="F43" s="40">
        <f>SUM('Datos Ing. est. noil'!F44:F47)</f>
        <v>143.35280934000002</v>
      </c>
      <c r="G43" s="40">
        <f>SUM('Datos Ing. est. noil'!G43:G46)</f>
        <v>2237.590523375361</v>
      </c>
      <c r="H43" s="40">
        <f t="shared" si="39"/>
        <v>8807.3644529467092</v>
      </c>
      <c r="J43" s="31" t="s">
        <v>35</v>
      </c>
      <c r="K43" s="25">
        <v>53346.900059314998</v>
      </c>
      <c r="L43" s="25">
        <f>+SUM('Datos Ing. est. noil'!K44:K47)</f>
        <v>54250.408000000003</v>
      </c>
      <c r="M43" s="26">
        <f t="shared" si="40"/>
        <v>0.98334560100110202</v>
      </c>
      <c r="N43" s="25">
        <f>+SUM('Datos Ing. est. noil'!L44:L47)</f>
        <v>61762.635000000009</v>
      </c>
      <c r="O43" s="26">
        <f t="shared" si="69"/>
        <v>2.7017454876971714E-2</v>
      </c>
      <c r="P43" s="86"/>
      <c r="Q43" s="31" t="s">
        <v>35</v>
      </c>
      <c r="R43" s="233">
        <f t="shared" si="38"/>
        <v>2824.9175580399997</v>
      </c>
      <c r="S43" s="234">
        <f t="shared" si="48"/>
        <v>2.1210174665428412E-2</v>
      </c>
      <c r="T43" s="234">
        <f t="shared" si="49"/>
        <v>0.78505450502322749</v>
      </c>
      <c r="U43" s="234">
        <f t="shared" si="50"/>
        <v>2787.9163007270245</v>
      </c>
      <c r="W43" s="1" t="s">
        <v>35</v>
      </c>
      <c r="X43" s="17">
        <f t="shared" si="41"/>
        <v>473.60269999999997</v>
      </c>
      <c r="Y43" s="12">
        <f t="shared" si="51"/>
        <v>0.1982097290229739</v>
      </c>
      <c r="Z43" s="12">
        <f t="shared" si="52"/>
        <v>7.3363582885787535</v>
      </c>
      <c r="AA43" s="12">
        <f t="shared" si="53"/>
        <v>418.70108637445173</v>
      </c>
      <c r="AC43" s="1" t="s">
        <v>35</v>
      </c>
      <c r="AD43" s="17">
        <f t="shared" si="42"/>
        <v>2338.6409273700001</v>
      </c>
      <c r="AE43" s="12">
        <f t="shared" si="54"/>
        <v>0.11244684234874644</v>
      </c>
      <c r="AF43" s="12">
        <f t="shared" si="55"/>
        <v>4.1620072231374516</v>
      </c>
      <c r="AG43" s="40">
        <f t="shared" si="56"/>
        <v>2180.7536667081663</v>
      </c>
      <c r="AI43" s="1" t="s">
        <v>35</v>
      </c>
      <c r="AJ43" s="17">
        <f t="shared" si="43"/>
        <v>789.25993482134868</v>
      </c>
      <c r="AK43" s="12">
        <f t="shared" si="57"/>
        <v>1.1261227128106035E-2</v>
      </c>
      <c r="AL43" s="12">
        <f t="shared" si="58"/>
        <v>0.41681302622270777</v>
      </c>
      <c r="AM43" s="10">
        <f t="shared" si="59"/>
        <v>783.75423006343283</v>
      </c>
      <c r="AN43" s="126">
        <v>825.50907774182997</v>
      </c>
      <c r="AO43" s="1" t="s">
        <v>35</v>
      </c>
      <c r="AP43" s="17">
        <f t="shared" si="44"/>
        <v>143.35280934000002</v>
      </c>
      <c r="AQ43" s="12">
        <f t="shared" si="60"/>
        <v>0.16337822120278683</v>
      </c>
      <c r="AR43" s="12">
        <f t="shared" si="61"/>
        <v>6.0471358959145336</v>
      </c>
      <c r="AS43" s="12">
        <f t="shared" si="62"/>
        <v>129.5088608784946</v>
      </c>
      <c r="AT43" s="125">
        <v>159.65896454150101</v>
      </c>
      <c r="AU43" s="1" t="s">
        <v>35</v>
      </c>
      <c r="AV43" s="17">
        <f t="shared" si="45"/>
        <v>2237.590523375361</v>
      </c>
      <c r="AW43" s="12">
        <f t="shared" si="63"/>
        <v>0.14292217388923287</v>
      </c>
      <c r="AX43" s="12">
        <f t="shared" si="64"/>
        <v>5.2899939887029239</v>
      </c>
      <c r="AY43" s="12">
        <f t="shared" si="65"/>
        <v>2047.3700524196315</v>
      </c>
      <c r="AZ43" s="223">
        <v>2135.4602937673199</v>
      </c>
      <c r="BA43" s="1" t="s">
        <v>35</v>
      </c>
      <c r="BB43" s="12">
        <f t="shared" si="46"/>
        <v>8807.3644529467092</v>
      </c>
      <c r="BC43" s="12">
        <f t="shared" si="66"/>
        <v>8.3953226293176586E-2</v>
      </c>
      <c r="BD43" s="12">
        <f t="shared" si="67"/>
        <v>3.1073699086561253</v>
      </c>
      <c r="BE43" s="12">
        <f t="shared" si="68"/>
        <v>8359.5205376327613</v>
      </c>
      <c r="BF43" s="126">
        <v>8368.6950018072803</v>
      </c>
      <c r="BH43" s="238" t="s">
        <v>35</v>
      </c>
      <c r="BI43" s="241">
        <f t="shared" si="71"/>
        <v>2787.9163007270245</v>
      </c>
      <c r="BJ43" s="241">
        <f t="shared" si="72"/>
        <v>418.70108637445173</v>
      </c>
      <c r="BK43" s="241">
        <f t="shared" si="73"/>
        <v>2180.7536667081663</v>
      </c>
      <c r="BL43" s="245">
        <f t="shared" si="74"/>
        <v>783.75423006343283</v>
      </c>
      <c r="BM43" s="241">
        <f t="shared" si="75"/>
        <v>129.5088608784946</v>
      </c>
      <c r="BN43" s="241">
        <f t="shared" si="76"/>
        <v>2047.3700524196315</v>
      </c>
      <c r="BO43" s="241">
        <f t="shared" si="70"/>
        <v>8348.0041971712017</v>
      </c>
      <c r="BP43" s="228">
        <v>8368.7951319205204</v>
      </c>
    </row>
    <row r="44" spans="1:68" x14ac:dyDescent="0.25">
      <c r="A44" s="1" t="s">
        <v>36</v>
      </c>
      <c r="B44" s="40">
        <f>SUM('Datos Ing. est. noil'!B45:B48)</f>
        <v>2958.4482395869995</v>
      </c>
      <c r="C44" s="40">
        <f>SUM('Datos Ing. est. noil'!C45:C48)</f>
        <v>462.30474300000003</v>
      </c>
      <c r="D44" s="40">
        <f>SUM('Datos Ing. est. noil'!D45:D48)</f>
        <v>2344.5275290899999</v>
      </c>
      <c r="E44" s="40">
        <f>SUM('Datos Ing. est. noil'!E45:E48)</f>
        <v>836.5172082113487</v>
      </c>
      <c r="F44" s="40">
        <f>SUM('Datos Ing. est. noil'!F45:F48)</f>
        <v>133.03679492999999</v>
      </c>
      <c r="G44" s="40">
        <f>SUM('Datos Ing. est. noil'!G44:G47)</f>
        <v>2587.4693073329122</v>
      </c>
      <c r="H44" s="40">
        <f t="shared" si="39"/>
        <v>9322.3038221512597</v>
      </c>
      <c r="J44" s="31" t="s">
        <v>36</v>
      </c>
      <c r="K44" s="25">
        <v>53756.026921782497</v>
      </c>
      <c r="L44" s="25">
        <f>+SUM('Datos Ing. est. noil'!K45:K48)</f>
        <v>54768.014999999999</v>
      </c>
      <c r="M44" s="26">
        <f t="shared" ref="M44:M75" si="77">K44/L44</f>
        <v>0.98152227941404302</v>
      </c>
      <c r="N44" s="25">
        <f>+SUM('Datos Ing. est. noil'!L45:L48)</f>
        <v>62278.766999999993</v>
      </c>
      <c r="O44" s="26">
        <f t="shared" si="69"/>
        <v>8.3567030454576585E-3</v>
      </c>
      <c r="P44" s="86"/>
      <c r="Q44" s="31" t="s">
        <v>36</v>
      </c>
      <c r="R44" s="233">
        <f t="shared" si="38"/>
        <v>2958.4482395869995</v>
      </c>
      <c r="S44" s="234">
        <f t="shared" si="48"/>
        <v>4.7268877340139751E-2</v>
      </c>
      <c r="T44" s="234">
        <f t="shared" si="49"/>
        <v>5.6564026605962816</v>
      </c>
      <c r="U44" s="234">
        <f t="shared" si="50"/>
        <v>2662.2450627657922</v>
      </c>
      <c r="W44" s="1" t="s">
        <v>36</v>
      </c>
      <c r="X44" s="17">
        <f t="shared" si="41"/>
        <v>462.30474300000003</v>
      </c>
      <c r="Y44" s="12">
        <f t="shared" si="51"/>
        <v>-2.3855347530746637E-2</v>
      </c>
      <c r="Z44" s="12">
        <f t="shared" si="52"/>
        <v>-2.8546362603746425</v>
      </c>
      <c r="AA44" s="12">
        <f t="shared" si="53"/>
        <v>487.58511641998047</v>
      </c>
      <c r="AC44" s="1" t="s">
        <v>36</v>
      </c>
      <c r="AD44" s="17">
        <f t="shared" si="42"/>
        <v>2344.5275290899999</v>
      </c>
      <c r="AE44" s="12">
        <f t="shared" si="54"/>
        <v>2.5171036951875288E-3</v>
      </c>
      <c r="AF44" s="12">
        <f t="shared" si="55"/>
        <v>0.3012077468225603</v>
      </c>
      <c r="AG44" s="40">
        <f t="shared" si="56"/>
        <v>2331.3936141857412</v>
      </c>
      <c r="AI44" s="1" t="s">
        <v>36</v>
      </c>
      <c r="AJ44" s="17">
        <f t="shared" si="43"/>
        <v>836.5172082113487</v>
      </c>
      <c r="AK44" s="12">
        <f t="shared" si="57"/>
        <v>5.9875424185438786E-2</v>
      </c>
      <c r="AL44" s="12">
        <f t="shared" si="58"/>
        <v>7.1649577422742654</v>
      </c>
      <c r="AM44" s="10">
        <f t="shared" si="59"/>
        <v>731.88000535302228</v>
      </c>
      <c r="AN44" s="126">
        <v>880.40200267842602</v>
      </c>
      <c r="AO44" s="1" t="s">
        <v>36</v>
      </c>
      <c r="AP44" s="17">
        <f t="shared" si="44"/>
        <v>133.03679492999999</v>
      </c>
      <c r="AQ44" s="12">
        <f t="shared" si="60"/>
        <v>-7.196241536873417E-2</v>
      </c>
      <c r="AR44" s="12">
        <f t="shared" si="61"/>
        <v>-8.6113404984337478</v>
      </c>
      <c r="AS44" s="12">
        <f t="shared" si="62"/>
        <v>156.2148212640794</v>
      </c>
      <c r="AT44" s="125">
        <v>183.37228824590099</v>
      </c>
      <c r="AU44" s="1" t="s">
        <v>36</v>
      </c>
      <c r="AV44" s="17">
        <f t="shared" si="45"/>
        <v>2587.4693073329122</v>
      </c>
      <c r="AW44" s="12">
        <f t="shared" si="63"/>
        <v>0.15636408015786818</v>
      </c>
      <c r="AX44" s="12">
        <f t="shared" si="64"/>
        <v>18.711216529688812</v>
      </c>
      <c r="AY44" s="12">
        <f t="shared" si="65"/>
        <v>1825.2291021685344</v>
      </c>
      <c r="AZ44" s="223">
        <v>2200.31427222712</v>
      </c>
      <c r="BA44" s="1" t="s">
        <v>36</v>
      </c>
      <c r="BB44" s="12">
        <f t="shared" si="46"/>
        <v>9322.3038221512597</v>
      </c>
      <c r="BC44" s="12">
        <f t="shared" si="66"/>
        <v>5.8466908228404835E-2</v>
      </c>
      <c r="BD44" s="12">
        <f t="shared" si="67"/>
        <v>6.9964085010995944</v>
      </c>
      <c r="BE44" s="194">
        <f t="shared" si="68"/>
        <v>8181.8870085963226</v>
      </c>
      <c r="BF44" s="126">
        <v>8735.2022142265796</v>
      </c>
      <c r="BH44" s="238" t="s">
        <v>36</v>
      </c>
      <c r="BI44" s="241">
        <f t="shared" si="71"/>
        <v>2662.2450627657922</v>
      </c>
      <c r="BJ44" s="241">
        <f t="shared" si="72"/>
        <v>487.58511641998047</v>
      </c>
      <c r="BK44" s="241">
        <f t="shared" si="73"/>
        <v>2331.3936141857412</v>
      </c>
      <c r="BL44" s="245">
        <f t="shared" si="74"/>
        <v>731.88000535302228</v>
      </c>
      <c r="BM44" s="241">
        <f t="shared" si="75"/>
        <v>156.2148212640794</v>
      </c>
      <c r="BN44" s="241">
        <f t="shared" si="76"/>
        <v>1825.2291021685344</v>
      </c>
      <c r="BO44" s="241">
        <f t="shared" si="70"/>
        <v>8194.5477221571491</v>
      </c>
      <c r="BP44" s="228">
        <v>8735.3467411788406</v>
      </c>
    </row>
    <row r="45" spans="1:68" x14ac:dyDescent="0.25">
      <c r="A45" s="1" t="s">
        <v>37</v>
      </c>
      <c r="B45" s="40">
        <f>SUM('Datos Ing. est. noil'!B46:B49)</f>
        <v>3013.1522114303048</v>
      </c>
      <c r="C45" s="40">
        <f>SUM('Datos Ing. est. noil'!C46:C49)</f>
        <v>464.15724299999999</v>
      </c>
      <c r="D45" s="40">
        <f>SUM('Datos Ing. est. noil'!D46:D49)</f>
        <v>2551.0083100000002</v>
      </c>
      <c r="E45" s="40">
        <f>SUM('Datos Ing. est. noil'!E46:E49)</f>
        <v>901.4347385513488</v>
      </c>
      <c r="F45" s="40">
        <f>SUM('Datos Ing. est. noil'!F46:F49)</f>
        <v>131.91385408313607</v>
      </c>
      <c r="G45" s="40">
        <f>SUM('Datos Ing. est. noil'!G45:G48)</f>
        <v>2358.7773882110073</v>
      </c>
      <c r="H45" s="40">
        <f t="shared" si="39"/>
        <v>9420.4437452757975</v>
      </c>
      <c r="J45" s="31" t="s">
        <v>37</v>
      </c>
      <c r="K45" s="25">
        <v>54147.215955788597</v>
      </c>
      <c r="L45" s="25">
        <f>+SUM('Datos Ing. est. noil'!K46:K49)</f>
        <v>54993.789000000004</v>
      </c>
      <c r="M45" s="26">
        <f t="shared" si="77"/>
        <v>0.98460602443284262</v>
      </c>
      <c r="N45" s="25">
        <f>+SUM('Datos Ing. est. noil'!L46:L49)</f>
        <v>62078.712999999996</v>
      </c>
      <c r="O45" s="26">
        <f t="shared" si="69"/>
        <v>-3.2122344361762423E-3</v>
      </c>
      <c r="P45" s="86"/>
      <c r="Q45" s="31" t="s">
        <v>37</v>
      </c>
      <c r="R45" s="233">
        <f t="shared" si="38"/>
        <v>3013.1522114303048</v>
      </c>
      <c r="S45" s="234">
        <f t="shared" si="48"/>
        <v>1.8490765229998388E-2</v>
      </c>
      <c r="T45" s="234">
        <f t="shared" si="49"/>
        <v>-5.7563560809121075</v>
      </c>
      <c r="U45" s="234">
        <f t="shared" si="50"/>
        <v>3294.6143437500709</v>
      </c>
      <c r="W45" s="1" t="s">
        <v>37</v>
      </c>
      <c r="X45" s="17">
        <f t="shared" si="41"/>
        <v>464.15724299999999</v>
      </c>
      <c r="Y45" s="12">
        <f t="shared" si="51"/>
        <v>4.0070971108335856E-3</v>
      </c>
      <c r="Z45" s="12">
        <f t="shared" si="52"/>
        <v>-1.2474485254580381</v>
      </c>
      <c r="AA45" s="12">
        <f t="shared" si="53"/>
        <v>473.22734321673482</v>
      </c>
      <c r="AC45" s="1" t="s">
        <v>37</v>
      </c>
      <c r="AD45" s="17">
        <f t="shared" si="42"/>
        <v>2551.0083100000002</v>
      </c>
      <c r="AE45" s="12">
        <f t="shared" si="54"/>
        <v>8.8069249922667056E-2</v>
      </c>
      <c r="AF45" s="12">
        <f t="shared" si="55"/>
        <v>-27.416818937879992</v>
      </c>
      <c r="AG45" s="40">
        <f t="shared" si="56"/>
        <v>3903.3096021201254</v>
      </c>
      <c r="AI45" s="1" t="s">
        <v>37</v>
      </c>
      <c r="AJ45" s="17">
        <f t="shared" si="43"/>
        <v>901.4347385513488</v>
      </c>
      <c r="AK45" s="12">
        <f t="shared" si="57"/>
        <v>7.7604536646421834E-2</v>
      </c>
      <c r="AL45" s="12">
        <f>AK45/O45</f>
        <v>-24.159051335867066</v>
      </c>
      <c r="AM45" s="10">
        <f>AN45</f>
        <v>943.80868919572401</v>
      </c>
      <c r="AN45" s="126">
        <v>943.80868919572401</v>
      </c>
      <c r="AO45" s="1" t="s">
        <v>37</v>
      </c>
      <c r="AP45" s="17">
        <f t="shared" si="44"/>
        <v>131.91385408313607</v>
      </c>
      <c r="AQ45" s="12">
        <f t="shared" si="60"/>
        <v>-8.4408290763075752E-3</v>
      </c>
      <c r="AR45" s="12">
        <f t="shared" si="61"/>
        <v>2.6277126542343252</v>
      </c>
      <c r="AS45" s="12">
        <f t="shared" si="62"/>
        <v>126.64445095857806</v>
      </c>
      <c r="AT45" s="125">
        <v>209.263509377069</v>
      </c>
      <c r="AU45" s="1" t="s">
        <v>37</v>
      </c>
      <c r="AV45" s="17">
        <f t="shared" si="45"/>
        <v>2358.7773882110073</v>
      </c>
      <c r="AW45" s="12">
        <f t="shared" si="63"/>
        <v>-8.8384398792205915E-2</v>
      </c>
      <c r="AX45" s="12">
        <f t="shared" si="64"/>
        <v>27.51492786355168</v>
      </c>
      <c r="AY45" s="12">
        <f t="shared" si="65"/>
        <v>1539.2346074241234</v>
      </c>
      <c r="AZ45" s="223">
        <v>2235.8378616413602</v>
      </c>
      <c r="BA45" s="1" t="s">
        <v>37</v>
      </c>
      <c r="BB45" s="12">
        <f t="shared" si="46"/>
        <v>9420.4437452757975</v>
      </c>
      <c r="BC45" s="12">
        <f t="shared" si="66"/>
        <v>1.0527432381182589E-2</v>
      </c>
      <c r="BD45" s="12">
        <f t="shared" si="67"/>
        <v>-3.277292672858013</v>
      </c>
      <c r="BE45" s="194">
        <f t="shared" si="68"/>
        <v>9911.791476721306</v>
      </c>
      <c r="BF45" s="126">
        <v>9070.5821384765804</v>
      </c>
      <c r="BH45" s="238" t="s">
        <v>37</v>
      </c>
      <c r="BI45" s="241">
        <f t="shared" si="71"/>
        <v>3294.6143437500709</v>
      </c>
      <c r="BJ45" s="241">
        <f t="shared" si="72"/>
        <v>473.22734321673482</v>
      </c>
      <c r="BK45" s="241">
        <f t="shared" si="73"/>
        <v>3903.3096021201254</v>
      </c>
      <c r="BL45" s="245">
        <f>AM45</f>
        <v>943.80868919572401</v>
      </c>
      <c r="BM45" s="241">
        <f t="shared" si="75"/>
        <v>126.64445095857806</v>
      </c>
      <c r="BN45" s="241">
        <f t="shared" si="76"/>
        <v>1539.2346074241234</v>
      </c>
      <c r="BO45" s="241">
        <f t="shared" si="70"/>
        <v>10280.839036665357</v>
      </c>
      <c r="BP45" s="228">
        <v>9070.7757190295397</v>
      </c>
    </row>
    <row r="46" spans="1:68" x14ac:dyDescent="0.25">
      <c r="A46" s="1" t="s">
        <v>38</v>
      </c>
      <c r="B46" s="40">
        <f>SUM('Datos Ing. est. noil'!B47:B50)</f>
        <v>2955.2914430934088</v>
      </c>
      <c r="C46" s="40">
        <f>SUM('Datos Ing. est. noil'!C47:C50)</f>
        <v>460.55604299999993</v>
      </c>
      <c r="D46" s="40">
        <f>SUM('Datos Ing. est. noil'!D47:D50)</f>
        <v>2586.7505365699999</v>
      </c>
      <c r="E46" s="40">
        <f>SUM('Datos Ing. est. noil'!E47:E50)</f>
        <v>936.39845034495124</v>
      </c>
      <c r="F46" s="40">
        <f>SUM('Datos Ing. est. noil'!F47:F50)</f>
        <v>186.12236681313604</v>
      </c>
      <c r="G46" s="40">
        <f>SUM('Datos Ing. est. noil'!G46:G49)</f>
        <v>2422.5153139113781</v>
      </c>
      <c r="H46" s="40">
        <f t="shared" si="39"/>
        <v>9547.6341537328735</v>
      </c>
      <c r="J46" s="31" t="s">
        <v>38</v>
      </c>
      <c r="K46" s="25">
        <v>54535.307279427303</v>
      </c>
      <c r="L46" s="25">
        <f>+SUM('Datos Ing. est. noil'!K47:K50)</f>
        <v>54884.059000000001</v>
      </c>
      <c r="M46" s="26">
        <f t="shared" si="77"/>
        <v>0.99364566457133396</v>
      </c>
      <c r="N46" s="25">
        <f>+SUM('Datos Ing. est. noil'!L47:L50)</f>
        <v>61645.224999999999</v>
      </c>
      <c r="O46" s="26">
        <f t="shared" si="69"/>
        <v>-6.9828767229758171E-3</v>
      </c>
      <c r="P46" s="86"/>
      <c r="Q46" s="31" t="s">
        <v>38</v>
      </c>
      <c r="R46" s="233">
        <f t="shared" si="38"/>
        <v>2955.2914430934088</v>
      </c>
      <c r="S46" s="234">
        <f t="shared" si="48"/>
        <v>-1.9202736628240291E-2</v>
      </c>
      <c r="T46" s="234">
        <f t="shared" si="49"/>
        <v>2.7499750303563815</v>
      </c>
      <c r="U46" s="234">
        <f t="shared" si="50"/>
        <v>2903.9365697546868</v>
      </c>
      <c r="W46" s="1" t="s">
        <v>38</v>
      </c>
      <c r="X46" s="17">
        <f t="shared" si="41"/>
        <v>460.55604299999993</v>
      </c>
      <c r="Y46" s="12">
        <f t="shared" si="51"/>
        <v>-7.7585776249538404E-3</v>
      </c>
      <c r="Z46" s="12">
        <f t="shared" si="52"/>
        <v>1.1110861515606782</v>
      </c>
      <c r="AA46" s="12">
        <f t="shared" si="53"/>
        <v>457.30556852606207</v>
      </c>
      <c r="AC46" s="1" t="s">
        <v>38</v>
      </c>
      <c r="AD46" s="17">
        <f t="shared" si="42"/>
        <v>2586.7505365699999</v>
      </c>
      <c r="AE46" s="12">
        <f t="shared" si="54"/>
        <v>1.4011019262418524E-2</v>
      </c>
      <c r="AF46" s="12">
        <f t="shared" si="55"/>
        <v>-2.0064824023482974</v>
      </c>
      <c r="AG46" s="40">
        <f t="shared" si="56"/>
        <v>2620.0489793974066</v>
      </c>
      <c r="AI46" s="1" t="s">
        <v>38</v>
      </c>
      <c r="AJ46" s="17">
        <f t="shared" si="43"/>
        <v>936.39845034495124</v>
      </c>
      <c r="AK46" s="12">
        <f t="shared" si="57"/>
        <v>3.8786736630308807E-2</v>
      </c>
      <c r="AL46" s="12">
        <f t="shared" si="58"/>
        <v>-5.5545498179408623</v>
      </c>
      <c r="AM46" s="10">
        <f t="shared" si="59"/>
        <v>970.14851727220901</v>
      </c>
      <c r="AN46" s="126">
        <v>1015.86127039489</v>
      </c>
      <c r="AO46" s="1" t="s">
        <v>38</v>
      </c>
      <c r="AP46" s="17">
        <f t="shared" si="44"/>
        <v>186.12236681313604</v>
      </c>
      <c r="AQ46" s="12">
        <f t="shared" si="60"/>
        <v>0.41093873806337378</v>
      </c>
      <c r="AR46" s="12">
        <f t="shared" si="61"/>
        <v>-58.849490599090579</v>
      </c>
      <c r="AS46" s="12">
        <f t="shared" si="62"/>
        <v>270.84505475703509</v>
      </c>
      <c r="AT46" s="125">
        <v>236.41525807935699</v>
      </c>
      <c r="AU46" s="1" t="s">
        <v>38</v>
      </c>
      <c r="AV46" s="17">
        <f t="shared" si="45"/>
        <v>2422.5153139113781</v>
      </c>
      <c r="AW46" s="12">
        <f t="shared" si="63"/>
        <v>2.7021594330574911E-2</v>
      </c>
      <c r="AX46" s="12">
        <f t="shared" si="64"/>
        <v>-3.8696937383507768</v>
      </c>
      <c r="AY46" s="12">
        <f t="shared" si="65"/>
        <v>2483.0165585817722</v>
      </c>
      <c r="AZ46" s="223">
        <v>2243.6845086177</v>
      </c>
      <c r="BA46" s="1" t="s">
        <v>38</v>
      </c>
      <c r="BB46" s="12">
        <f t="shared" si="46"/>
        <v>9547.6341537328735</v>
      </c>
      <c r="BC46" s="12">
        <f t="shared" si="66"/>
        <v>1.3501530490096059E-2</v>
      </c>
      <c r="BD46" s="12">
        <f t="shared" si="67"/>
        <v>-1.9335198122103261</v>
      </c>
      <c r="BE46" s="194">
        <f t="shared" si="68"/>
        <v>9666.0411077432782</v>
      </c>
      <c r="BF46" s="126">
        <v>9377.1760782225701</v>
      </c>
      <c r="BH46" s="238" t="s">
        <v>38</v>
      </c>
      <c r="BI46" s="241">
        <f t="shared" si="71"/>
        <v>2903.9365697546868</v>
      </c>
      <c r="BJ46" s="241">
        <f t="shared" si="72"/>
        <v>457.30556852606207</v>
      </c>
      <c r="BK46" s="241">
        <f t="shared" si="73"/>
        <v>2620.0489793974066</v>
      </c>
      <c r="BL46" s="245">
        <f t="shared" si="74"/>
        <v>970.14851727220901</v>
      </c>
      <c r="BM46" s="241">
        <f t="shared" si="75"/>
        <v>270.84505475703509</v>
      </c>
      <c r="BN46" s="241">
        <f t="shared" si="76"/>
        <v>2483.0165585817722</v>
      </c>
      <c r="BO46" s="241">
        <f t="shared" si="70"/>
        <v>9705.3012482891718</v>
      </c>
      <c r="BP46" s="228">
        <v>9377.4117507098108</v>
      </c>
    </row>
    <row r="47" spans="1:68" x14ac:dyDescent="0.25">
      <c r="A47" s="1" t="s">
        <v>39</v>
      </c>
      <c r="B47" s="40">
        <f>SUM('Datos Ing. est. noil'!B48:B51)</f>
        <v>3018.5437420365633</v>
      </c>
      <c r="C47" s="40">
        <f>SUM('Datos Ing. est. noil'!C48:C51)</f>
        <v>448.13024300000001</v>
      </c>
      <c r="D47" s="40">
        <f>SUM('Datos Ing. est. noil'!D48:D51)</f>
        <v>2517.5041999999999</v>
      </c>
      <c r="E47" s="40">
        <f>SUM('Datos Ing. est. noil'!E48:E51)</f>
        <v>1039.0662117000002</v>
      </c>
      <c r="F47" s="40">
        <f>SUM('Datos Ing. est. noil'!F48:F51)</f>
        <v>233.45400247957741</v>
      </c>
      <c r="G47" s="40">
        <f>SUM('Datos Ing. est. noil'!G47:G50)</f>
        <v>2042.3195623925774</v>
      </c>
      <c r="H47" s="40">
        <f t="shared" si="39"/>
        <v>9299.0179616087171</v>
      </c>
      <c r="J47" s="31" t="s">
        <v>39</v>
      </c>
      <c r="K47" s="25">
        <v>54943.606851235003</v>
      </c>
      <c r="L47" s="25">
        <f>+SUM('Datos Ing. est. noil'!K48:K51)</f>
        <v>54557.732000000004</v>
      </c>
      <c r="M47" s="26">
        <f t="shared" si="77"/>
        <v>1.0070727802841035</v>
      </c>
      <c r="N47" s="25">
        <f>+SUM('Datos Ing. est. noil'!L48:L51)</f>
        <v>62519.686000000002</v>
      </c>
      <c r="O47" s="26">
        <f t="shared" ref="O47:O61" si="78">(N47/N46)-1</f>
        <v>1.4185380943941839E-2</v>
      </c>
      <c r="P47" s="86"/>
      <c r="Q47" s="31" t="s">
        <v>39</v>
      </c>
      <c r="R47" s="233">
        <f t="shared" si="38"/>
        <v>3018.5437420365633</v>
      </c>
      <c r="S47" s="234">
        <f t="shared" si="48"/>
        <v>2.1403066384865953E-2</v>
      </c>
      <c r="T47" s="234">
        <f t="shared" si="49"/>
        <v>1.5088115341736084</v>
      </c>
      <c r="U47" s="234">
        <f t="shared" si="50"/>
        <v>3050.8140034282155</v>
      </c>
      <c r="W47" s="1" t="s">
        <v>39</v>
      </c>
      <c r="X47" s="17">
        <f t="shared" si="41"/>
        <v>448.13024300000001</v>
      </c>
      <c r="Y47" s="12">
        <f t="shared" si="51"/>
        <v>-2.6979995570267496E-2</v>
      </c>
      <c r="Z47" s="12">
        <f t="shared" si="52"/>
        <v>-1.9019577744783698</v>
      </c>
      <c r="AA47" s="12">
        <f t="shared" si="53"/>
        <v>442.16323795962808</v>
      </c>
      <c r="AC47" s="1" t="s">
        <v>39</v>
      </c>
      <c r="AD47" s="17">
        <f t="shared" si="42"/>
        <v>2517.5041999999999</v>
      </c>
      <c r="AE47" s="12">
        <f t="shared" si="54"/>
        <v>-2.6769622965583627E-2</v>
      </c>
      <c r="AF47" s="12">
        <f t="shared" si="55"/>
        <v>-1.8871275344224119</v>
      </c>
      <c r="AG47" s="40">
        <f t="shared" si="56"/>
        <v>2484.2424281098042</v>
      </c>
      <c r="AI47" s="1" t="s">
        <v>39</v>
      </c>
      <c r="AJ47" s="17">
        <f t="shared" si="43"/>
        <v>1039.0662117000002</v>
      </c>
      <c r="AK47" s="12">
        <f t="shared" si="57"/>
        <v>0.10964110557554649</v>
      </c>
      <c r="AL47" s="12">
        <f t="shared" si="58"/>
        <v>7.729161875090214</v>
      </c>
      <c r="AM47" s="10">
        <f t="shared" si="59"/>
        <v>1097.2386267206421</v>
      </c>
      <c r="AN47" s="126">
        <v>1096.26809248514</v>
      </c>
      <c r="AO47" s="1" t="s">
        <v>39</v>
      </c>
      <c r="AP47" s="17">
        <f t="shared" si="44"/>
        <v>233.45400247957741</v>
      </c>
      <c r="AQ47" s="12">
        <f t="shared" si="60"/>
        <v>0.25430385652661291</v>
      </c>
      <c r="AR47" s="12">
        <f t="shared" si="61"/>
        <v>17.927178517910626</v>
      </c>
      <c r="AS47" s="12">
        <f t="shared" si="62"/>
        <v>264.89506528380116</v>
      </c>
      <c r="AT47" s="125">
        <v>263.13662940334598</v>
      </c>
      <c r="AU47" s="1" t="s">
        <v>39</v>
      </c>
      <c r="AV47" s="17">
        <f t="shared" si="45"/>
        <v>2042.3195623925774</v>
      </c>
      <c r="AW47" s="12">
        <f t="shared" si="63"/>
        <v>-0.15694255856114242</v>
      </c>
      <c r="AX47" s="12">
        <f t="shared" si="64"/>
        <v>-11.063683039697851</v>
      </c>
      <c r="AY47" s="12">
        <f t="shared" si="65"/>
        <v>1889.1190913038722</v>
      </c>
      <c r="AZ47" s="223">
        <v>2226.7370811473602</v>
      </c>
      <c r="BA47" s="1" t="s">
        <v>39</v>
      </c>
      <c r="BB47" s="12">
        <f t="shared" si="46"/>
        <v>9299.0179616087171</v>
      </c>
      <c r="BC47" s="12">
        <f t="shared" si="66"/>
        <v>-2.6039559970671311E-2</v>
      </c>
      <c r="BD47" s="12">
        <f t="shared" si="67"/>
        <v>-1.8356616627762856</v>
      </c>
      <c r="BE47" s="194">
        <f t="shared" si="68"/>
        <v>9179.4864964605604</v>
      </c>
      <c r="BF47" s="126">
        <v>9660.8235157450508</v>
      </c>
      <c r="BH47" s="238" t="s">
        <v>39</v>
      </c>
      <c r="BI47" s="241">
        <f t="shared" si="71"/>
        <v>3050.8140034282155</v>
      </c>
      <c r="BJ47" s="241">
        <f t="shared" si="72"/>
        <v>442.16323795962808</v>
      </c>
      <c r="BK47" s="241">
        <f t="shared" si="73"/>
        <v>2484.2424281098042</v>
      </c>
      <c r="BL47" s="245">
        <f t="shared" si="74"/>
        <v>1097.2386267206421</v>
      </c>
      <c r="BM47" s="241">
        <f t="shared" si="75"/>
        <v>264.89506528380116</v>
      </c>
      <c r="BN47" s="241">
        <f t="shared" si="76"/>
        <v>1889.1190913038722</v>
      </c>
      <c r="BO47" s="241">
        <f t="shared" si="70"/>
        <v>9228.4724528059633</v>
      </c>
      <c r="BP47" s="228">
        <v>9661.0807642665604</v>
      </c>
    </row>
    <row r="48" spans="1:68" x14ac:dyDescent="0.25">
      <c r="A48" s="1" t="s">
        <v>40</v>
      </c>
      <c r="B48" s="40">
        <f>SUM('Datos Ing. est. noil'!B49:B52)</f>
        <v>3257.3338774241897</v>
      </c>
      <c r="C48" s="40">
        <f>SUM('Datos Ing. est. noil'!C49:C52)</f>
        <v>446.94840000000005</v>
      </c>
      <c r="D48" s="40">
        <f>SUM('Datos Ing. est. noil'!D49:D52)</f>
        <v>2568.2035999999998</v>
      </c>
      <c r="E48" s="40">
        <f>SUM('Datos Ing. est. noil'!E49:E52)</f>
        <v>1174.2086229800002</v>
      </c>
      <c r="F48" s="40">
        <f>SUM('Datos Ing. est. noil'!F49:F52)</f>
        <v>363.92572907957742</v>
      </c>
      <c r="G48" s="40">
        <f>SUM('Datos Ing. est. noil'!G48:G51)</f>
        <v>2028.0548574789614</v>
      </c>
      <c r="H48" s="40">
        <f t="shared" si="39"/>
        <v>9838.6750869627285</v>
      </c>
      <c r="J48" s="31" t="s">
        <v>40</v>
      </c>
      <c r="K48" s="25">
        <v>55398.9085569538</v>
      </c>
      <c r="L48" s="25">
        <f>+SUM('Datos Ing. est. noil'!K49:K52)</f>
        <v>54566.350000000006</v>
      </c>
      <c r="M48" s="26">
        <f t="shared" si="77"/>
        <v>1.0152577285626361</v>
      </c>
      <c r="N48" s="25">
        <f>+SUM('Datos Ing. est. noil'!L49:L52)</f>
        <v>64260.311000000002</v>
      </c>
      <c r="O48" s="26">
        <f t="shared" si="78"/>
        <v>2.7841230680525131E-2</v>
      </c>
      <c r="P48" s="86"/>
      <c r="Q48" s="31" t="s">
        <v>40</v>
      </c>
      <c r="R48" s="233">
        <f t="shared" si="38"/>
        <v>3257.3338774241897</v>
      </c>
      <c r="S48" s="234">
        <f t="shared" si="48"/>
        <v>7.9107727366083652E-2</v>
      </c>
      <c r="T48" s="234">
        <f t="shared" si="49"/>
        <v>2.8413875907223924</v>
      </c>
      <c r="U48" s="234">
        <f t="shared" si="50"/>
        <v>3400.5417033102758</v>
      </c>
      <c r="W48" s="1" t="s">
        <v>40</v>
      </c>
      <c r="X48" s="17">
        <f t="shared" si="41"/>
        <v>446.94840000000005</v>
      </c>
      <c r="Y48" s="12">
        <f t="shared" si="51"/>
        <v>-2.6372756993327004E-3</v>
      </c>
      <c r="Z48" s="12">
        <f t="shared" si="52"/>
        <v>-9.4725543191503669E-2</v>
      </c>
      <c r="AA48" s="12">
        <f t="shared" si="53"/>
        <v>446.30776503285205</v>
      </c>
      <c r="AC48" s="1" t="s">
        <v>40</v>
      </c>
      <c r="AD48" s="17">
        <f t="shared" si="42"/>
        <v>2568.2035999999998</v>
      </c>
      <c r="AE48" s="12">
        <f t="shared" si="54"/>
        <v>2.0138754882712797E-2</v>
      </c>
      <c r="AF48" s="12">
        <f t="shared" si="55"/>
        <v>0.72334284047291786</v>
      </c>
      <c r="AG48" s="40">
        <f t="shared" si="56"/>
        <v>2596.4883179929689</v>
      </c>
      <c r="AI48" s="1" t="s">
        <v>40</v>
      </c>
      <c r="AJ48" s="17">
        <f t="shared" si="43"/>
        <v>1174.2086229800002</v>
      </c>
      <c r="AK48" s="12">
        <f t="shared" si="57"/>
        <v>0.13006140490209533</v>
      </c>
      <c r="AL48" s="12">
        <f t="shared" si="58"/>
        <v>4.6715393581029074</v>
      </c>
      <c r="AM48" s="10">
        <f t="shared" si="59"/>
        <v>1260.2790859054214</v>
      </c>
      <c r="AN48" s="126">
        <v>1183.9428889717401</v>
      </c>
      <c r="AO48" s="1" t="s">
        <v>40</v>
      </c>
      <c r="AP48" s="17">
        <f t="shared" si="44"/>
        <v>363.92572907957742</v>
      </c>
      <c r="AQ48" s="12">
        <f t="shared" si="60"/>
        <v>0.55887551815014902</v>
      </c>
      <c r="AR48" s="12">
        <f t="shared" si="61"/>
        <v>20.073664291754209</v>
      </c>
      <c r="AS48" s="12">
        <f t="shared" si="62"/>
        <v>493.20024493879214</v>
      </c>
      <c r="AT48" s="125">
        <v>287.23376581882502</v>
      </c>
      <c r="AU48" s="1" t="s">
        <v>40</v>
      </c>
      <c r="AV48" s="17">
        <f t="shared" si="45"/>
        <v>2028.0548574789614</v>
      </c>
      <c r="AW48" s="12">
        <f t="shared" si="63"/>
        <v>-6.9845606810448966E-3</v>
      </c>
      <c r="AX48" s="12">
        <f t="shared" si="64"/>
        <v>-0.25087111849299748</v>
      </c>
      <c r="AY48" s="12">
        <f t="shared" si="65"/>
        <v>2020.3652653222218</v>
      </c>
      <c r="AZ48" s="223">
        <v>2189.6668021354199</v>
      </c>
      <c r="BA48" s="1" t="s">
        <v>40</v>
      </c>
      <c r="BB48" s="12">
        <f t="shared" si="46"/>
        <v>9838.6750869627285</v>
      </c>
      <c r="BC48" s="12">
        <f t="shared" si="66"/>
        <v>5.8033775994626779E-2</v>
      </c>
      <c r="BD48" s="12">
        <f t="shared" si="67"/>
        <v>2.0844544072263753</v>
      </c>
      <c r="BE48" s="12">
        <f t="shared" si="68"/>
        <v>10154.174556464968</v>
      </c>
      <c r="BF48" s="126">
        <v>9929.0681725423092</v>
      </c>
      <c r="BH48" s="238" t="s">
        <v>40</v>
      </c>
      <c r="BI48" s="241">
        <f t="shared" si="71"/>
        <v>3400.5417033102758</v>
      </c>
      <c r="BJ48" s="241">
        <f t="shared" si="72"/>
        <v>446.30776503285205</v>
      </c>
      <c r="BK48" s="241">
        <f t="shared" si="73"/>
        <v>2596.4883179929689</v>
      </c>
      <c r="BL48" s="245">
        <f t="shared" si="74"/>
        <v>1260.2790859054214</v>
      </c>
      <c r="BM48" s="241">
        <f t="shared" si="75"/>
        <v>493.20024493879214</v>
      </c>
      <c r="BN48" s="241">
        <f t="shared" si="76"/>
        <v>2020.3652653222218</v>
      </c>
      <c r="BO48" s="241">
        <f t="shared" si="70"/>
        <v>10217.182382502531</v>
      </c>
      <c r="BP48" s="228">
        <v>9929.3105702395806</v>
      </c>
    </row>
    <row r="49" spans="1:68" x14ac:dyDescent="0.25">
      <c r="A49" s="1" t="s">
        <v>41</v>
      </c>
      <c r="B49" s="40">
        <f>SUM('Datos Ing. est. noil'!B50:B53)</f>
        <v>3535.6210720379022</v>
      </c>
      <c r="C49" s="40">
        <f>SUM('Datos Ing. est. noil'!C50:C53)</f>
        <v>484.67610000000002</v>
      </c>
      <c r="D49" s="40">
        <f>SUM('Datos Ing. est. noil'!D50:D53)</f>
        <v>2370.9935999999998</v>
      </c>
      <c r="E49" s="40">
        <f>SUM('Datos Ing. est. noil'!E50:E53)</f>
        <v>1313.3725425000002</v>
      </c>
      <c r="F49" s="40">
        <f>SUM('Datos Ing. est. noil'!F50:F53)</f>
        <v>422.17619419644137</v>
      </c>
      <c r="G49" s="40">
        <f>SUM('Datos Ing. est. noil'!G49:G52)</f>
        <v>2258.7206280456153</v>
      </c>
      <c r="H49" s="40">
        <f t="shared" si="39"/>
        <v>10385.560136779959</v>
      </c>
      <c r="J49" s="31" t="s">
        <v>41</v>
      </c>
      <c r="K49" s="25">
        <v>55924.147213813398</v>
      </c>
      <c r="L49" s="25">
        <f>+SUM('Datos Ing. est. noil'!K50:K53)</f>
        <v>54848.876000000004</v>
      </c>
      <c r="M49" s="26">
        <f t="shared" si="77"/>
        <v>1.0196042524884812</v>
      </c>
      <c r="N49" s="25">
        <f>+SUM('Datos Ing. est. noil'!L50:L53)</f>
        <v>65742.236999999994</v>
      </c>
      <c r="O49" s="26">
        <f t="shared" si="78"/>
        <v>2.3061295174870766E-2</v>
      </c>
      <c r="P49" s="86"/>
      <c r="Q49" s="31" t="s">
        <v>41</v>
      </c>
      <c r="R49" s="233">
        <f t="shared" si="38"/>
        <v>3535.6210720379022</v>
      </c>
      <c r="S49" s="234">
        <f t="shared" si="48"/>
        <v>8.5434040563804395E-2</v>
      </c>
      <c r="T49" s="234">
        <f t="shared" si="49"/>
        <v>3.704650580809504</v>
      </c>
      <c r="U49" s="234">
        <f t="shared" si="50"/>
        <v>3799.2859944646161</v>
      </c>
      <c r="W49" s="1" t="s">
        <v>41</v>
      </c>
      <c r="X49" s="17">
        <f t="shared" si="41"/>
        <v>484.67610000000002</v>
      </c>
      <c r="Y49" s="12">
        <f t="shared" si="51"/>
        <v>8.4411757598863685E-2</v>
      </c>
      <c r="Z49" s="12">
        <f t="shared" si="52"/>
        <v>3.6603216323619483</v>
      </c>
      <c r="AA49" s="12">
        <f t="shared" si="53"/>
        <v>520.37222994093281</v>
      </c>
      <c r="AC49" s="1" t="s">
        <v>41</v>
      </c>
      <c r="AD49" s="17">
        <f t="shared" si="42"/>
        <v>2370.9935999999998</v>
      </c>
      <c r="AE49" s="12">
        <f t="shared" si="54"/>
        <v>-7.6789083233120628E-2</v>
      </c>
      <c r="AF49" s="12">
        <f t="shared" si="55"/>
        <v>-3.329781898667838</v>
      </c>
      <c r="AG49" s="40">
        <f t="shared" si="56"/>
        <v>2222.5670199875181</v>
      </c>
      <c r="AI49" s="1" t="s">
        <v>41</v>
      </c>
      <c r="AJ49" s="17">
        <f t="shared" si="43"/>
        <v>1313.3725425000002</v>
      </c>
      <c r="AK49" s="12">
        <f t="shared" si="57"/>
        <v>0.11851720111441419</v>
      </c>
      <c r="AL49" s="12">
        <f t="shared" si="58"/>
        <v>5.1392257119868532</v>
      </c>
      <c r="AM49" s="10">
        <f t="shared" si="59"/>
        <v>1451.1757888298182</v>
      </c>
      <c r="AN49" s="126">
        <v>1277.2274124350899</v>
      </c>
      <c r="AO49" s="1" t="s">
        <v>41</v>
      </c>
      <c r="AP49" s="17">
        <f t="shared" si="44"/>
        <v>422.17619419644137</v>
      </c>
      <c r="AQ49" s="12">
        <f t="shared" si="60"/>
        <v>0.16006140940951905</v>
      </c>
      <c r="AR49" s="12">
        <f t="shared" si="61"/>
        <v>6.9406947092864666</v>
      </c>
      <c r="AS49" s="12">
        <f t="shared" si="62"/>
        <v>483.07567194998745</v>
      </c>
      <c r="AT49" s="125">
        <v>306.215943501548</v>
      </c>
      <c r="AU49" s="1" t="s">
        <v>41</v>
      </c>
      <c r="AV49" s="17">
        <f t="shared" si="45"/>
        <v>2258.7206280456153</v>
      </c>
      <c r="AW49" s="12">
        <f t="shared" si="63"/>
        <v>0.11373744142867535</v>
      </c>
      <c r="AX49" s="12">
        <f t="shared" si="64"/>
        <v>4.9319624316942869</v>
      </c>
      <c r="AY49" s="12">
        <f t="shared" si="65"/>
        <v>2485.6904318360212</v>
      </c>
      <c r="AZ49" s="223">
        <v>2135.3007236754702</v>
      </c>
      <c r="BA49" s="1" t="s">
        <v>41</v>
      </c>
      <c r="BB49" s="12">
        <f t="shared" si="46"/>
        <v>10385.560136779959</v>
      </c>
      <c r="BC49" s="12">
        <f t="shared" si="66"/>
        <v>5.5585233274133561E-2</v>
      </c>
      <c r="BD49" s="12">
        <f t="shared" si="67"/>
        <v>2.4103257363750843</v>
      </c>
      <c r="BE49" s="12">
        <f t="shared" si="68"/>
        <v>10883.107504316917</v>
      </c>
      <c r="BF49" s="126">
        <v>10185.8355349552</v>
      </c>
      <c r="BH49" s="238" t="s">
        <v>41</v>
      </c>
      <c r="BI49" s="241">
        <f t="shared" si="71"/>
        <v>3799.2859944646161</v>
      </c>
      <c r="BJ49" s="241">
        <f t="shared" si="72"/>
        <v>520.37222994093281</v>
      </c>
      <c r="BK49" s="241">
        <f t="shared" si="73"/>
        <v>2222.5670199875181</v>
      </c>
      <c r="BL49" s="245">
        <f t="shared" si="74"/>
        <v>1451.1757888298182</v>
      </c>
      <c r="BM49" s="241">
        <f t="shared" si="75"/>
        <v>483.07567194998745</v>
      </c>
      <c r="BN49" s="241">
        <f t="shared" si="76"/>
        <v>2485.6904318360212</v>
      </c>
      <c r="BO49" s="241">
        <f t="shared" si="70"/>
        <v>10962.167137008893</v>
      </c>
      <c r="BP49" s="228">
        <v>10186.008171526</v>
      </c>
    </row>
    <row r="50" spans="1:68" x14ac:dyDescent="0.25">
      <c r="A50" s="1" t="s">
        <v>42</v>
      </c>
      <c r="B50" s="40">
        <f>SUM('Datos Ing. est. noil'!B51:B54)</f>
        <v>3696.4169509047579</v>
      </c>
      <c r="C50" s="40">
        <f>SUM('Datos Ing. est. noil'!C51:C54)</f>
        <v>508.71860000000004</v>
      </c>
      <c r="D50" s="40">
        <f>SUM('Datos Ing. est. noil'!D51:D54)</f>
        <v>2325.4742000000001</v>
      </c>
      <c r="E50" s="40">
        <f>SUM('Datos Ing. est. noil'!E51:E54)</f>
        <v>1479.88695553</v>
      </c>
      <c r="F50" s="40">
        <f>SUM('Datos Ing. est. noil'!F51:F54)</f>
        <v>435.97318958644132</v>
      </c>
      <c r="G50" s="40">
        <f>SUM('Datos Ing. est. noil'!G50:G53)</f>
        <v>2320.3326899211356</v>
      </c>
      <c r="H50" s="40">
        <f t="shared" si="39"/>
        <v>10766.802585942334</v>
      </c>
      <c r="J50" s="31" t="s">
        <v>42</v>
      </c>
      <c r="K50" s="25">
        <v>56533.932553473802</v>
      </c>
      <c r="L50" s="25">
        <f>+SUM('Datos Ing. est. noil'!K51:K54)</f>
        <v>55445.262000000002</v>
      </c>
      <c r="M50" s="26">
        <f t="shared" si="77"/>
        <v>1.0196350511153469</v>
      </c>
      <c r="N50" s="25">
        <f>+SUM('Datos Ing. est. noil'!L51:L54)</f>
        <v>67391.617999999988</v>
      </c>
      <c r="O50" s="26">
        <f t="shared" si="78"/>
        <v>2.5088604758003452E-2</v>
      </c>
      <c r="P50" s="86"/>
      <c r="Q50" s="31" t="s">
        <v>42</v>
      </c>
      <c r="R50" s="233">
        <f t="shared" si="38"/>
        <v>3696.4169509047579</v>
      </c>
      <c r="S50" s="234">
        <f t="shared" si="48"/>
        <v>4.5478821285046329E-2</v>
      </c>
      <c r="T50" s="234">
        <f t="shared" si="49"/>
        <v>1.8127281976706275</v>
      </c>
      <c r="U50" s="234">
        <f t="shared" si="50"/>
        <v>3829.0320474886826</v>
      </c>
      <c r="W50" s="1" t="s">
        <v>42</v>
      </c>
      <c r="X50" s="17">
        <f t="shared" si="41"/>
        <v>508.71860000000004</v>
      </c>
      <c r="Y50" s="12">
        <f t="shared" si="51"/>
        <v>4.9605293101929342E-2</v>
      </c>
      <c r="Z50" s="12">
        <f t="shared" si="52"/>
        <v>1.9772041363163044</v>
      </c>
      <c r="AA50" s="12">
        <f t="shared" si="53"/>
        <v>528.65777540832528</v>
      </c>
      <c r="AC50" s="1" t="s">
        <v>42</v>
      </c>
      <c r="AD50" s="17">
        <f t="shared" si="42"/>
        <v>2325.4742000000001</v>
      </c>
      <c r="AE50" s="12">
        <f t="shared" si="54"/>
        <v>-1.9198449122764263E-2</v>
      </c>
      <c r="AF50" s="12">
        <f t="shared" si="55"/>
        <v>-0.76522585882898952</v>
      </c>
      <c r="AG50" s="40">
        <f t="shared" si="56"/>
        <v>2291.1281409258336</v>
      </c>
      <c r="AI50" s="1" t="s">
        <v>42</v>
      </c>
      <c r="AJ50" s="17">
        <f t="shared" si="43"/>
        <v>1479.88695553</v>
      </c>
      <c r="AK50" s="12">
        <f t="shared" si="57"/>
        <v>0.12678383904161736</v>
      </c>
      <c r="AL50" s="12">
        <f t="shared" si="58"/>
        <v>5.0534431972018039</v>
      </c>
      <c r="AM50" s="10">
        <f t="shared" si="59"/>
        <v>1632.6896474824716</v>
      </c>
      <c r="AN50" s="126">
        <v>1374.3660865658901</v>
      </c>
      <c r="AO50" s="1" t="s">
        <v>42</v>
      </c>
      <c r="AP50" s="17">
        <f t="shared" si="44"/>
        <v>435.97318958644132</v>
      </c>
      <c r="AQ50" s="12">
        <f t="shared" si="60"/>
        <v>3.2680656985552614E-2</v>
      </c>
      <c r="AR50" s="12">
        <f t="shared" si="61"/>
        <v>1.3026095831465974</v>
      </c>
      <c r="AS50" s="12">
        <f t="shared" si="62"/>
        <v>447.15696886922206</v>
      </c>
      <c r="AT50" s="125">
        <v>318.359400969082</v>
      </c>
      <c r="AU50" s="1" t="s">
        <v>42</v>
      </c>
      <c r="AV50" s="17">
        <f t="shared" si="45"/>
        <v>2320.3326899211356</v>
      </c>
      <c r="AW50" s="12">
        <f t="shared" si="63"/>
        <v>2.7277415856794517E-2</v>
      </c>
      <c r="AX50" s="12">
        <f t="shared" si="64"/>
        <v>1.0872432373144552</v>
      </c>
      <c r="AY50" s="12">
        <f t="shared" si="65"/>
        <v>2369.9095057247396</v>
      </c>
      <c r="AZ50" s="223">
        <v>2064.8497298397301</v>
      </c>
      <c r="BA50" s="1" t="s">
        <v>42</v>
      </c>
      <c r="BB50" s="12">
        <f t="shared" si="46"/>
        <v>10766.802585942334</v>
      </c>
      <c r="BC50" s="12">
        <f t="shared" si="66"/>
        <v>3.6708896211791631E-2</v>
      </c>
      <c r="BD50" s="12">
        <f t="shared" si="67"/>
        <v>1.4631700951836</v>
      </c>
      <c r="BE50" s="12">
        <f t="shared" si="68"/>
        <v>11077.5282233616</v>
      </c>
      <c r="BF50" s="126">
        <v>10434.147407599099</v>
      </c>
      <c r="BH50" s="238" t="s">
        <v>42</v>
      </c>
      <c r="BI50" s="241">
        <f t="shared" si="71"/>
        <v>3829.0320474886826</v>
      </c>
      <c r="BJ50" s="241">
        <f t="shared" si="72"/>
        <v>528.65777540832528</v>
      </c>
      <c r="BK50" s="241">
        <f t="shared" si="73"/>
        <v>2291.1281409258336</v>
      </c>
      <c r="BL50" s="245">
        <f t="shared" si="74"/>
        <v>1632.6896474824716</v>
      </c>
      <c r="BM50" s="241">
        <f t="shared" si="75"/>
        <v>447.15696886922206</v>
      </c>
      <c r="BN50" s="241">
        <f t="shared" si="76"/>
        <v>2369.9095057247396</v>
      </c>
      <c r="BO50" s="241">
        <f t="shared" si="70"/>
        <v>11098.574085899274</v>
      </c>
      <c r="BP50" s="228">
        <v>10434.174465320501</v>
      </c>
    </row>
    <row r="51" spans="1:68" x14ac:dyDescent="0.25">
      <c r="A51" s="1" t="s">
        <v>43</v>
      </c>
      <c r="B51" s="40">
        <f>SUM('Datos Ing. est. noil'!B52:B55)</f>
        <v>3886.1261158219368</v>
      </c>
      <c r="C51" s="40">
        <f>SUM('Datos Ing. est. noil'!C52:C55)</f>
        <v>530.24051231999999</v>
      </c>
      <c r="D51" s="40">
        <f>SUM('Datos Ing. est. noil'!D52:D55)</f>
        <v>2353.1113</v>
      </c>
      <c r="E51" s="40">
        <f>SUM('Datos Ing. est. noil'!E52:E55)</f>
        <v>1580.16325181</v>
      </c>
      <c r="F51" s="40">
        <f>SUM('Datos Ing. est. noil'!F52:F55)</f>
        <v>444.15059999999994</v>
      </c>
      <c r="G51" s="40">
        <f>SUM('Datos Ing. est. noil'!G51:G54)</f>
        <v>2194.8643289564361</v>
      </c>
      <c r="H51" s="40">
        <f t="shared" si="39"/>
        <v>10988.65610890837</v>
      </c>
      <c r="J51" s="31" t="s">
        <v>43</v>
      </c>
      <c r="K51" s="25">
        <v>57232.121835457103</v>
      </c>
      <c r="L51" s="25">
        <f>+SUM('Datos Ing. est. noil'!K52:K55)</f>
        <v>56481.055</v>
      </c>
      <c r="M51" s="26">
        <f t="shared" si="77"/>
        <v>1.013297677167275</v>
      </c>
      <c r="N51" s="25">
        <f>+SUM('Datos Ing. est. noil'!L52:L55)</f>
        <v>69555.366999999998</v>
      </c>
      <c r="O51" s="26">
        <f t="shared" si="78"/>
        <v>3.2107093793177777E-2</v>
      </c>
      <c r="P51" s="86"/>
      <c r="Q51" s="31" t="s">
        <v>43</v>
      </c>
      <c r="R51" s="233">
        <f t="shared" si="38"/>
        <v>3886.1261158219368</v>
      </c>
      <c r="S51" s="234">
        <f t="shared" si="48"/>
        <v>5.132244750439869E-2</v>
      </c>
      <c r="T51" s="234">
        <f t="shared" si="49"/>
        <v>1.5984768922095296</v>
      </c>
      <c r="U51" s="234">
        <f t="shared" si="50"/>
        <v>3969.0578398866028</v>
      </c>
      <c r="W51" s="1" t="s">
        <v>43</v>
      </c>
      <c r="X51" s="17">
        <f t="shared" si="41"/>
        <v>530.24051231999999</v>
      </c>
      <c r="Y51" s="12">
        <f t="shared" si="51"/>
        <v>4.2306124289538373E-2</v>
      </c>
      <c r="Z51" s="12">
        <f t="shared" si="52"/>
        <v>1.3176566076661762</v>
      </c>
      <c r="AA51" s="12">
        <f t="shared" si="53"/>
        <v>539.55082927415526</v>
      </c>
      <c r="AC51" s="1" t="s">
        <v>43</v>
      </c>
      <c r="AD51" s="17">
        <f t="shared" si="42"/>
        <v>2353.1113</v>
      </c>
      <c r="AE51" s="12">
        <f t="shared" si="54"/>
        <v>1.1884500804180033E-2</v>
      </c>
      <c r="AF51" s="12">
        <f t="shared" si="55"/>
        <v>0.37015186988693732</v>
      </c>
      <c r="AG51" s="40">
        <f t="shared" si="56"/>
        <v>2364.6455336028812</v>
      </c>
      <c r="AI51" s="1" t="s">
        <v>43</v>
      </c>
      <c r="AJ51" s="17">
        <f t="shared" si="43"/>
        <v>1580.16325181</v>
      </c>
      <c r="AK51" s="12">
        <f t="shared" si="57"/>
        <v>6.7759429803263244E-2</v>
      </c>
      <c r="AL51" s="12">
        <f t="shared" si="58"/>
        <v>2.1104192811639959</v>
      </c>
      <c r="AM51" s="10">
        <f t="shared" si="59"/>
        <v>1624.8359988532893</v>
      </c>
      <c r="AN51" s="126">
        <v>1473.96476093047</v>
      </c>
      <c r="AO51" s="1" t="s">
        <v>43</v>
      </c>
      <c r="AP51" s="17">
        <f t="shared" si="44"/>
        <v>444.15059999999994</v>
      </c>
      <c r="AQ51" s="12">
        <f t="shared" si="60"/>
        <v>1.8756681853110295E-2</v>
      </c>
      <c r="AR51" s="12">
        <f t="shared" si="61"/>
        <v>0.58419120627777832</v>
      </c>
      <c r="AS51" s="12">
        <f t="shared" si="62"/>
        <v>447.59145376984065</v>
      </c>
      <c r="AT51" s="125">
        <v>323.10001730397698</v>
      </c>
      <c r="AU51" s="1" t="s">
        <v>43</v>
      </c>
      <c r="AV51" s="17">
        <f t="shared" si="45"/>
        <v>2194.8643289564361</v>
      </c>
      <c r="AW51" s="12">
        <f t="shared" si="63"/>
        <v>-5.4073435895506852E-2</v>
      </c>
      <c r="AX51" s="12">
        <f t="shared" si="64"/>
        <v>-1.684158530318199</v>
      </c>
      <c r="AY51" s="12">
        <f t="shared" si="65"/>
        <v>2146.5726102928229</v>
      </c>
      <c r="AZ51" s="223">
        <v>1980.7588974636999</v>
      </c>
      <c r="BA51" s="1" t="s">
        <v>43</v>
      </c>
      <c r="BB51" s="12">
        <f t="shared" si="46"/>
        <v>10988.65610890837</v>
      </c>
      <c r="BC51" s="12">
        <f t="shared" si="66"/>
        <v>2.0605330244997555E-2</v>
      </c>
      <c r="BD51" s="12">
        <f t="shared" si="67"/>
        <v>0.64176877476764482</v>
      </c>
      <c r="BE51" s="12">
        <f t="shared" si="68"/>
        <v>11082.211646424783</v>
      </c>
      <c r="BF51" s="126">
        <v>10679.023239739799</v>
      </c>
      <c r="BH51" s="238" t="s">
        <v>43</v>
      </c>
      <c r="BI51" s="241">
        <f t="shared" si="71"/>
        <v>3969.0578398866028</v>
      </c>
      <c r="BJ51" s="241">
        <f t="shared" si="72"/>
        <v>539.55082927415526</v>
      </c>
      <c r="BK51" s="241">
        <f t="shared" si="73"/>
        <v>2364.6455336028812</v>
      </c>
      <c r="BL51" s="245">
        <f t="shared" si="74"/>
        <v>1624.8359988532893</v>
      </c>
      <c r="BM51" s="241">
        <f t="shared" si="75"/>
        <v>447.59145376984065</v>
      </c>
      <c r="BN51" s="241">
        <f t="shared" si="76"/>
        <v>2146.5726102928229</v>
      </c>
      <c r="BO51" s="241">
        <f t="shared" si="70"/>
        <v>11092.254265679592</v>
      </c>
      <c r="BP51" s="228">
        <v>10678.8062671027</v>
      </c>
    </row>
    <row r="52" spans="1:68" x14ac:dyDescent="0.25">
      <c r="A52" s="1" t="s">
        <v>44</v>
      </c>
      <c r="B52" s="40">
        <f>SUM('Datos Ing. est. noil'!B53:B56)</f>
        <v>3782.2664766843104</v>
      </c>
      <c r="C52" s="40">
        <f>SUM('Datos Ing. est. noil'!C53:C56)</f>
        <v>553.06061232000002</v>
      </c>
      <c r="D52" s="40">
        <f>SUM('Datos Ing. est. noil'!D53:D56)</f>
        <v>2561.4038852519302</v>
      </c>
      <c r="E52" s="40">
        <f>SUM('Datos Ing. est. noil'!E53:E56)</f>
        <v>1613.5294616799999</v>
      </c>
      <c r="F52" s="40">
        <f>SUM('Datos Ing. est. noil'!F53:F56)</f>
        <v>365.92314599999997</v>
      </c>
      <c r="G52" s="40">
        <f>SUM('Datos Ing. est. noil'!G52:G55)</f>
        <v>1870.9335011421167</v>
      </c>
      <c r="H52" s="40">
        <f t="shared" si="39"/>
        <v>10747.117083078358</v>
      </c>
      <c r="J52" s="31" t="s">
        <v>44</v>
      </c>
      <c r="K52" s="25">
        <v>58011.685993750601</v>
      </c>
      <c r="L52" s="25">
        <f>+SUM('Datos Ing. est. noil'!K53:K56)</f>
        <v>57541.603999999999</v>
      </c>
      <c r="M52" s="26">
        <f t="shared" si="77"/>
        <v>1.0081694280498437</v>
      </c>
      <c r="N52" s="25">
        <f>+SUM('Datos Ing. est. noil'!L53:L56)</f>
        <v>71715.694000000003</v>
      </c>
      <c r="O52" s="26">
        <f t="shared" si="78"/>
        <v>3.1059098573946287E-2</v>
      </c>
      <c r="P52" s="86"/>
      <c r="Q52" s="31" t="s">
        <v>44</v>
      </c>
      <c r="R52" s="233">
        <f t="shared" si="38"/>
        <v>3782.2664766843104</v>
      </c>
      <c r="S52" s="234">
        <f t="shared" si="48"/>
        <v>-2.6725751054442932E-2</v>
      </c>
      <c r="T52" s="234">
        <f t="shared" si="49"/>
        <v>-0.860480576756392</v>
      </c>
      <c r="U52" s="234">
        <f t="shared" si="50"/>
        <v>3755.8790214049768</v>
      </c>
      <c r="W52" s="1" t="s">
        <v>44</v>
      </c>
      <c r="X52" s="17">
        <f t="shared" si="41"/>
        <v>553.06061232000002</v>
      </c>
      <c r="Y52" s="12">
        <f t="shared" si="51"/>
        <v>4.3037262279627744E-2</v>
      </c>
      <c r="Z52" s="12">
        <f t="shared" si="52"/>
        <v>1.3856571586314246</v>
      </c>
      <c r="AA52" s="12">
        <f t="shared" si="53"/>
        <v>559.33111905383169</v>
      </c>
      <c r="AC52" s="1" t="s">
        <v>44</v>
      </c>
      <c r="AD52" s="17">
        <f t="shared" si="42"/>
        <v>2561.4038852519302</v>
      </c>
      <c r="AE52" s="12">
        <f t="shared" si="54"/>
        <v>8.8517948663087112E-2</v>
      </c>
      <c r="AF52" s="12">
        <f t="shared" si="55"/>
        <v>2.8499844724192926</v>
      </c>
      <c r="AG52" s="40">
        <f t="shared" si="56"/>
        <v>2621.4920893095582</v>
      </c>
      <c r="AI52" s="1" t="s">
        <v>44</v>
      </c>
      <c r="AJ52" s="17">
        <f t="shared" si="43"/>
        <v>1613.5294616799999</v>
      </c>
      <c r="AK52" s="12">
        <f t="shared" si="57"/>
        <v>2.111567259381621E-2</v>
      </c>
      <c r="AL52" s="12">
        <f t="shared" si="58"/>
        <v>0.67985465011302515</v>
      </c>
      <c r="AM52" s="10">
        <f t="shared" si="59"/>
        <v>1622.4793653196016</v>
      </c>
      <c r="AN52" s="126">
        <v>1575.6845242295301</v>
      </c>
      <c r="AO52" s="1" t="s">
        <v>44</v>
      </c>
      <c r="AP52" s="17">
        <f t="shared" si="44"/>
        <v>365.92314599999997</v>
      </c>
      <c r="AQ52" s="12">
        <f t="shared" si="60"/>
        <v>-0.17612821867177478</v>
      </c>
      <c r="AR52" s="12">
        <f t="shared" si="61"/>
        <v>-5.6707447015065249</v>
      </c>
      <c r="AS52" s="12">
        <f t="shared" si="62"/>
        <v>349.42354908528148</v>
      </c>
      <c r="AT52" s="125">
        <v>321.04977757909398</v>
      </c>
      <c r="AU52" s="1" t="s">
        <v>44</v>
      </c>
      <c r="AV52" s="17">
        <f t="shared" si="45"/>
        <v>1870.9335011421167</v>
      </c>
      <c r="AW52" s="12">
        <f t="shared" si="63"/>
        <v>-0.14758580908202859</v>
      </c>
      <c r="AX52" s="12">
        <f t="shared" si="64"/>
        <v>-4.75177374290669</v>
      </c>
      <c r="AY52" s="12">
        <f t="shared" si="65"/>
        <v>1799.9806923516715</v>
      </c>
      <c r="AZ52" s="223">
        <v>1888.02810608444</v>
      </c>
      <c r="BA52" s="1" t="s">
        <v>44</v>
      </c>
      <c r="BB52" s="12">
        <f t="shared" si="46"/>
        <v>10747.117083078358</v>
      </c>
      <c r="BC52" s="12">
        <f t="shared" si="66"/>
        <v>-2.1980761199197008E-2</v>
      </c>
      <c r="BD52" s="12">
        <f t="shared" si="67"/>
        <v>-0.70770763507075574</v>
      </c>
      <c r="BE52" s="12">
        <f t="shared" si="68"/>
        <v>10685.412161762135</v>
      </c>
      <c r="BF52" s="126">
        <v>10928.809006567401</v>
      </c>
      <c r="BH52" s="238" t="s">
        <v>44</v>
      </c>
      <c r="BI52" s="241">
        <f t="shared" si="71"/>
        <v>3755.8790214049768</v>
      </c>
      <c r="BJ52" s="241">
        <f t="shared" si="72"/>
        <v>559.33111905383169</v>
      </c>
      <c r="BK52" s="241">
        <f t="shared" si="73"/>
        <v>2621.4920893095582</v>
      </c>
      <c r="BL52" s="245">
        <f t="shared" si="74"/>
        <v>1622.4793653196016</v>
      </c>
      <c r="BM52" s="241">
        <f t="shared" si="75"/>
        <v>349.42354908528148</v>
      </c>
      <c r="BN52" s="241">
        <f t="shared" si="76"/>
        <v>1799.9806923516715</v>
      </c>
      <c r="BO52" s="241">
        <f t="shared" si="70"/>
        <v>10708.585836524921</v>
      </c>
      <c r="BP52" s="228">
        <v>10928.226647698801</v>
      </c>
    </row>
    <row r="53" spans="1:68" x14ac:dyDescent="0.25">
      <c r="A53" s="1" t="s">
        <v>45</v>
      </c>
      <c r="B53" s="40">
        <f>SUM('Datos Ing. est. noil'!B54:B57)</f>
        <v>3806.5733175062924</v>
      </c>
      <c r="C53" s="40">
        <f>SUM('Datos Ing. est. noil'!C54:C57)</f>
        <v>569.10211232000006</v>
      </c>
      <c r="D53" s="40">
        <f>SUM('Datos Ing. est. noil'!D54:D57)</f>
        <v>2837.7591852519299</v>
      </c>
      <c r="E53" s="40">
        <f>SUM('Datos Ing. est. noil'!E54:E57)</f>
        <v>1620.6532013116293</v>
      </c>
      <c r="F53" s="40">
        <f>SUM('Datos Ing. est. noil'!F54:F57)</f>
        <v>328.15064599999999</v>
      </c>
      <c r="G53" s="40">
        <f>SUM('Datos Ing. est. noil'!G53:G56)</f>
        <v>1635.8412211751472</v>
      </c>
      <c r="H53" s="40">
        <f t="shared" si="39"/>
        <v>10798.079683565</v>
      </c>
      <c r="J53" s="31" t="s">
        <v>45</v>
      </c>
      <c r="K53" s="25">
        <v>58858.085743987001</v>
      </c>
      <c r="L53" s="25">
        <f>+SUM('Datos Ing. est. noil'!K54:K57)</f>
        <v>58772.089</v>
      </c>
      <c r="M53" s="26">
        <f t="shared" si="77"/>
        <v>1.0014632242183361</v>
      </c>
      <c r="N53" s="25">
        <f>+SUM('Datos Ing. est. noil'!L54:L57)</f>
        <v>74373.013000000006</v>
      </c>
      <c r="O53" s="26">
        <f t="shared" si="78"/>
        <v>3.7053521367303555E-2</v>
      </c>
      <c r="P53" s="86"/>
      <c r="Q53" s="31" t="s">
        <v>45</v>
      </c>
      <c r="R53" s="233">
        <f t="shared" si="38"/>
        <v>3806.5733175062924</v>
      </c>
      <c r="S53" s="234">
        <f t="shared" si="48"/>
        <v>6.4265278429800968E-3</v>
      </c>
      <c r="T53" s="234">
        <f t="shared" si="49"/>
        <v>0.17343905803918916</v>
      </c>
      <c r="U53" s="234">
        <f t="shared" si="50"/>
        <v>3807.5387668972794</v>
      </c>
      <c r="W53" s="1" t="s">
        <v>45</v>
      </c>
      <c r="X53" s="17">
        <f t="shared" si="41"/>
        <v>569.10211232000006</v>
      </c>
      <c r="Y53" s="12">
        <f t="shared" si="51"/>
        <v>2.9004958304133317E-2</v>
      </c>
      <c r="Z53" s="12">
        <f t="shared" si="52"/>
        <v>0.78278547446579849</v>
      </c>
      <c r="AA53" s="12">
        <f t="shared" si="53"/>
        <v>569.7538530387767</v>
      </c>
      <c r="AC53" s="1" t="s">
        <v>45</v>
      </c>
      <c r="AD53" s="17">
        <f t="shared" si="42"/>
        <v>2837.7591852519299</v>
      </c>
      <c r="AE53" s="12">
        <f t="shared" si="54"/>
        <v>0.10789212181304177</v>
      </c>
      <c r="AF53" s="12">
        <f t="shared" si="55"/>
        <v>2.9117913178488615</v>
      </c>
      <c r="AG53" s="40">
        <f t="shared" si="56"/>
        <v>2849.8666706531903</v>
      </c>
      <c r="AI53" s="1" t="s">
        <v>45</v>
      </c>
      <c r="AJ53" s="17">
        <f t="shared" si="43"/>
        <v>1620.6532013116293</v>
      </c>
      <c r="AK53" s="12">
        <f t="shared" si="57"/>
        <v>4.4150043744551138E-3</v>
      </c>
      <c r="AL53" s="12">
        <f t="shared" si="58"/>
        <v>0.11915208626705487</v>
      </c>
      <c r="AM53" s="10">
        <f t="shared" si="59"/>
        <v>1620.9355741460015</v>
      </c>
      <c r="AN53" s="126">
        <v>1680.24841755444</v>
      </c>
      <c r="AO53" s="1" t="s">
        <v>45</v>
      </c>
      <c r="AP53" s="17">
        <f t="shared" si="44"/>
        <v>328.15064599999999</v>
      </c>
      <c r="AQ53" s="12">
        <f t="shared" si="60"/>
        <v>-0.10322522751813022</v>
      </c>
      <c r="AR53" s="12">
        <f t="shared" si="61"/>
        <v>-2.7858412293633537</v>
      </c>
      <c r="AS53" s="12">
        <f t="shared" si="62"/>
        <v>326.81669845582928</v>
      </c>
      <c r="AT53" s="125">
        <v>314.03116669425299</v>
      </c>
      <c r="AU53" s="1" t="s">
        <v>45</v>
      </c>
      <c r="AV53" s="17">
        <f t="shared" si="45"/>
        <v>1635.8412211751472</v>
      </c>
      <c r="AW53" s="12">
        <f t="shared" si="63"/>
        <v>-0.12565506995489512</v>
      </c>
      <c r="AX53" s="12">
        <f t="shared" si="64"/>
        <v>-3.3911775539308002</v>
      </c>
      <c r="AY53" s="12">
        <f t="shared" si="65"/>
        <v>1627.7500991291524</v>
      </c>
      <c r="AZ53" s="223">
        <v>1793.79824626441</v>
      </c>
      <c r="BA53" s="1" t="s">
        <v>45</v>
      </c>
      <c r="BB53" s="12">
        <f t="shared" si="46"/>
        <v>10798.079683565</v>
      </c>
      <c r="BC53" s="12">
        <f t="shared" si="66"/>
        <v>4.741978717891282E-3</v>
      </c>
      <c r="BD53" s="12">
        <f t="shared" si="67"/>
        <v>0.12797646601209831</v>
      </c>
      <c r="BE53" s="12">
        <f t="shared" si="68"/>
        <v>10800.100424382024</v>
      </c>
      <c r="BF53" s="126">
        <v>11194.9474508741</v>
      </c>
      <c r="BH53" s="238" t="s">
        <v>45</v>
      </c>
      <c r="BI53" s="241">
        <f t="shared" si="71"/>
        <v>3807.5387668972794</v>
      </c>
      <c r="BJ53" s="241">
        <f t="shared" si="72"/>
        <v>569.7538530387767</v>
      </c>
      <c r="BK53" s="241">
        <f t="shared" si="73"/>
        <v>2849.8666706531903</v>
      </c>
      <c r="BL53" s="245">
        <f t="shared" si="74"/>
        <v>1620.9355741460015</v>
      </c>
      <c r="BM53" s="241">
        <f t="shared" si="75"/>
        <v>326.81669845582928</v>
      </c>
      <c r="BN53" s="241">
        <f t="shared" si="76"/>
        <v>1627.7500991291524</v>
      </c>
      <c r="BO53" s="241">
        <f t="shared" si="70"/>
        <v>10802.661662320232</v>
      </c>
      <c r="BP53" s="228">
        <v>11193.857615264</v>
      </c>
    </row>
    <row r="54" spans="1:68" x14ac:dyDescent="0.25">
      <c r="A54" s="1" t="s">
        <v>46</v>
      </c>
      <c r="B54" s="40">
        <f>SUM('Datos Ing. est. noil'!B55:B58)</f>
        <v>3950.3013922603336</v>
      </c>
      <c r="C54" s="40">
        <f>SUM('Datos Ing. est. noil'!C55:C58)</f>
        <v>592.91781231999994</v>
      </c>
      <c r="D54" s="40">
        <f>SUM('Datos Ing. est. noil'!D55:D58)</f>
        <v>2911.87838525193</v>
      </c>
      <c r="E54" s="40">
        <f>SUM('Datos Ing. est. noil'!E55:E58)</f>
        <v>1648.6854256893823</v>
      </c>
      <c r="F54" s="40">
        <f>SUM('Datos Ing. est. noil'!F55:F58)</f>
        <v>259.54924600000004</v>
      </c>
      <c r="G54" s="40">
        <f>SUM('Datos Ing. est. noil'!G54:G57)</f>
        <v>1636.4270137395281</v>
      </c>
      <c r="H54" s="40">
        <f t="shared" si="39"/>
        <v>10999.759275261174</v>
      </c>
      <c r="J54" s="31" t="s">
        <v>46</v>
      </c>
      <c r="K54" s="25">
        <v>59752.080941861503</v>
      </c>
      <c r="L54" s="25">
        <f>+SUM('Datos Ing. est. noil'!K55:K58)</f>
        <v>60005.301000000007</v>
      </c>
      <c r="M54" s="26">
        <f t="shared" si="77"/>
        <v>0.99578003853128738</v>
      </c>
      <c r="N54" s="25">
        <f>+SUM('Datos Ing. est. noil'!L55:L58)</f>
        <v>76912.125</v>
      </c>
      <c r="O54" s="26">
        <f t="shared" si="78"/>
        <v>3.4140233097723183E-2</v>
      </c>
      <c r="P54" s="86"/>
      <c r="Q54" s="31" t="s">
        <v>46</v>
      </c>
      <c r="R54" s="233">
        <f t="shared" si="38"/>
        <v>3950.3013922603336</v>
      </c>
      <c r="S54" s="234">
        <f t="shared" si="48"/>
        <v>3.7757863244887745E-2</v>
      </c>
      <c r="T54" s="234">
        <f t="shared" si="49"/>
        <v>1.1059638385247528</v>
      </c>
      <c r="U54" s="234">
        <f t="shared" si="50"/>
        <v>3931.8689699954193</v>
      </c>
      <c r="W54" s="1" t="s">
        <v>46</v>
      </c>
      <c r="X54" s="17">
        <f t="shared" si="41"/>
        <v>592.91781231999994</v>
      </c>
      <c r="Y54" s="12">
        <f t="shared" si="51"/>
        <v>4.1847850296870034E-2</v>
      </c>
      <c r="Z54" s="12">
        <f t="shared" si="52"/>
        <v>1.225763461458641</v>
      </c>
      <c r="AA54" s="12">
        <f t="shared" si="53"/>
        <v>589.85230399168711</v>
      </c>
      <c r="AC54" s="1" t="s">
        <v>46</v>
      </c>
      <c r="AD54" s="17">
        <f t="shared" si="42"/>
        <v>2911.87838525193</v>
      </c>
      <c r="AE54" s="12">
        <f t="shared" si="54"/>
        <v>2.6118918189113341E-2</v>
      </c>
      <c r="AF54" s="12">
        <f t="shared" si="55"/>
        <v>0.76504803333798022</v>
      </c>
      <c r="AG54" s="40">
        <f t="shared" si="56"/>
        <v>2902.4727952916796</v>
      </c>
      <c r="AI54" s="1" t="s">
        <v>46</v>
      </c>
      <c r="AJ54" s="17">
        <f t="shared" si="43"/>
        <v>1648.6854256893823</v>
      </c>
      <c r="AK54" s="12">
        <f t="shared" si="57"/>
        <v>1.7296867926503895E-2</v>
      </c>
      <c r="AL54" s="12">
        <f t="shared" si="58"/>
        <v>0.5066417641904567</v>
      </c>
      <c r="AM54" s="10">
        <f t="shared" si="59"/>
        <v>1645.1568447973516</v>
      </c>
      <c r="AN54" s="126">
        <v>1788.7579367542801</v>
      </c>
      <c r="AO54" s="1" t="s">
        <v>46</v>
      </c>
      <c r="AP54" s="17">
        <f t="shared" si="44"/>
        <v>259.54924600000004</v>
      </c>
      <c r="AQ54" s="12">
        <f t="shared" si="60"/>
        <v>-0.20905459378556263</v>
      </c>
      <c r="AR54" s="12">
        <f t="shared" si="61"/>
        <v>-6.1234085071172082</v>
      </c>
      <c r="AS54" s="12">
        <f t="shared" si="62"/>
        <v>266.35811015360372</v>
      </c>
      <c r="AT54" s="125">
        <v>304.315371773484</v>
      </c>
      <c r="AU54" s="1" t="s">
        <v>46</v>
      </c>
      <c r="AV54" s="17">
        <f t="shared" si="45"/>
        <v>1636.4270137395281</v>
      </c>
      <c r="AW54" s="12">
        <f t="shared" si="63"/>
        <v>3.5809866923396306E-4</v>
      </c>
      <c r="AX54" s="12">
        <f t="shared" si="64"/>
        <v>1.0489051677208516E-2</v>
      </c>
      <c r="AY54" s="12">
        <f t="shared" si="65"/>
        <v>1636.3544282705609</v>
      </c>
      <c r="AZ54" s="223">
        <v>1705.03922750522</v>
      </c>
      <c r="BA54" s="1" t="s">
        <v>46</v>
      </c>
      <c r="BB54" s="12">
        <f t="shared" si="46"/>
        <v>10999.759275261174</v>
      </c>
      <c r="BC54" s="12">
        <f t="shared" si="66"/>
        <v>1.8677357234466063E-2</v>
      </c>
      <c r="BD54" s="12">
        <f t="shared" si="67"/>
        <v>0.54707761312009495</v>
      </c>
      <c r="BE54" s="12">
        <f t="shared" si="68"/>
        <v>10974.340401859041</v>
      </c>
      <c r="BF54" s="126">
        <v>11487.064225386899</v>
      </c>
      <c r="BH54" s="238" t="s">
        <v>46</v>
      </c>
      <c r="BI54" s="241">
        <f t="shared" si="71"/>
        <v>3931.8689699954193</v>
      </c>
      <c r="BJ54" s="241">
        <f t="shared" si="72"/>
        <v>589.85230399168711</v>
      </c>
      <c r="BK54" s="241">
        <f t="shared" si="73"/>
        <v>2902.4727952916796</v>
      </c>
      <c r="BL54" s="245">
        <f t="shared" si="74"/>
        <v>1645.1568447973516</v>
      </c>
      <c r="BM54" s="241">
        <f t="shared" si="75"/>
        <v>266.35811015360372</v>
      </c>
      <c r="BN54" s="241">
        <f t="shared" si="76"/>
        <v>1636.3544282705609</v>
      </c>
      <c r="BO54" s="241">
        <f t="shared" si="70"/>
        <v>10972.063452500302</v>
      </c>
      <c r="BP54" s="228">
        <v>11485.309911476699</v>
      </c>
    </row>
    <row r="55" spans="1:68" x14ac:dyDescent="0.25">
      <c r="A55" s="1" t="s">
        <v>47</v>
      </c>
      <c r="B55" s="40">
        <f>SUM('Datos Ing. est. noil'!B56:B59)</f>
        <v>4200.3900883999995</v>
      </c>
      <c r="C55" s="40">
        <f>SUM('Datos Ing. est. noil'!C56:C59)</f>
        <v>617.87059999999997</v>
      </c>
      <c r="D55" s="40">
        <f>SUM('Datos Ing. est. noil'!D56:D59)</f>
        <v>3030.2028852519302</v>
      </c>
      <c r="E55" s="40">
        <f>SUM('Datos Ing. est. noil'!E56:E59)</f>
        <v>1714.3936695071352</v>
      </c>
      <c r="F55" s="40">
        <f>SUM('Datos Ing. est. noil'!F56:F59)</f>
        <v>202.44264600000002</v>
      </c>
      <c r="G55" s="40">
        <f>SUM('Datos Ing. est. noil'!G55:G58)</f>
        <v>1584.4472983254948</v>
      </c>
      <c r="H55" s="40">
        <f t="shared" si="39"/>
        <v>11349.74718748456</v>
      </c>
      <c r="J55" s="31" t="s">
        <v>47</v>
      </c>
      <c r="K55" s="25">
        <v>60673.571585629797</v>
      </c>
      <c r="L55" s="25">
        <f>+SUM('Datos Ing. est. noil'!K56:K59)</f>
        <v>60925.063999999998</v>
      </c>
      <c r="M55" s="26">
        <f t="shared" si="77"/>
        <v>0.99587210258211301</v>
      </c>
      <c r="N55" s="25">
        <f>+SUM('Datos Ing. est. noil'!L56:L59)</f>
        <v>79276.664000000004</v>
      </c>
      <c r="O55" s="26">
        <f t="shared" si="78"/>
        <v>3.0743384089309878E-2</v>
      </c>
      <c r="P55" s="86"/>
      <c r="Q55" s="31" t="s">
        <v>47</v>
      </c>
      <c r="R55" s="233">
        <f t="shared" si="38"/>
        <v>4200.3900883999995</v>
      </c>
      <c r="S55" s="234">
        <f t="shared" si="48"/>
        <v>6.3308763384397601E-2</v>
      </c>
      <c r="T55" s="234">
        <f t="shared" si="49"/>
        <v>2.059264627488143</v>
      </c>
      <c r="U55" s="234">
        <f t="shared" si="50"/>
        <v>4164.7630079152732</v>
      </c>
      <c r="W55" s="1" t="s">
        <v>47</v>
      </c>
      <c r="X55" s="17">
        <f t="shared" si="41"/>
        <v>617.87059999999997</v>
      </c>
      <c r="Y55" s="12">
        <f t="shared" si="51"/>
        <v>4.2084732759779052E-2</v>
      </c>
      <c r="Z55" s="12">
        <f t="shared" si="52"/>
        <v>1.368903717220018</v>
      </c>
      <c r="AA55" s="12">
        <f t="shared" si="53"/>
        <v>614.38186289069017</v>
      </c>
      <c r="AC55" s="1" t="s">
        <v>47</v>
      </c>
      <c r="AD55" s="17">
        <f t="shared" si="42"/>
        <v>3030.2028852519302</v>
      </c>
      <c r="AE55" s="12">
        <f t="shared" si="54"/>
        <v>4.0635110518107358E-2</v>
      </c>
      <c r="AF55" s="12">
        <f t="shared" si="55"/>
        <v>1.3217513856009444</v>
      </c>
      <c r="AG55" s="40">
        <f t="shared" si="56"/>
        <v>3013.6809237189118</v>
      </c>
      <c r="AI55" s="1" t="s">
        <v>47</v>
      </c>
      <c r="AJ55" s="17">
        <f t="shared" si="43"/>
        <v>1714.3936695071352</v>
      </c>
      <c r="AK55" s="12">
        <f t="shared" si="57"/>
        <v>3.9854930961300633E-2</v>
      </c>
      <c r="AL55" s="12">
        <f t="shared" si="58"/>
        <v>1.2963742327624574</v>
      </c>
      <c r="AM55" s="10">
        <f t="shared" si="59"/>
        <v>1705.2250522572801</v>
      </c>
      <c r="AN55" s="126">
        <v>1901.7185935026</v>
      </c>
      <c r="AO55" s="1" t="s">
        <v>47</v>
      </c>
      <c r="AP55" s="17">
        <f t="shared" si="44"/>
        <v>202.44264600000002</v>
      </c>
      <c r="AQ55" s="12">
        <f t="shared" si="60"/>
        <v>-0.22002221497495703</v>
      </c>
      <c r="AR55" s="12">
        <f t="shared" si="61"/>
        <v>-7.1567337654107961</v>
      </c>
      <c r="AS55" s="12">
        <f t="shared" si="62"/>
        <v>208.52522594423172</v>
      </c>
      <c r="AT55" s="125">
        <v>294.31476827387303</v>
      </c>
      <c r="AU55" s="1" t="s">
        <v>47</v>
      </c>
      <c r="AV55" s="17">
        <f t="shared" si="45"/>
        <v>1584.4472983254948</v>
      </c>
      <c r="AW55" s="12">
        <f t="shared" si="63"/>
        <v>-3.1764151396676328E-2</v>
      </c>
      <c r="AX55" s="12">
        <f t="shared" si="64"/>
        <v>-1.0332028284329764</v>
      </c>
      <c r="AY55" s="12">
        <f t="shared" si="65"/>
        <v>1591.2333718142468</v>
      </c>
      <c r="AZ55" s="223">
        <v>1627.1413768458101</v>
      </c>
      <c r="BA55" s="1" t="s">
        <v>47</v>
      </c>
      <c r="BB55" s="12">
        <f t="shared" si="46"/>
        <v>11349.74718748456</v>
      </c>
      <c r="BC55" s="12">
        <f t="shared" si="66"/>
        <v>3.181777923181639E-2</v>
      </c>
      <c r="BD55" s="12">
        <f t="shared" si="67"/>
        <v>1.0349471983756044</v>
      </c>
      <c r="BE55" s="12">
        <f t="shared" si="68"/>
        <v>11301.262800486644</v>
      </c>
      <c r="BF55" s="126">
        <v>11810.8165083237</v>
      </c>
      <c r="BH55" s="238" t="s">
        <v>47</v>
      </c>
      <c r="BI55" s="241">
        <f t="shared" si="71"/>
        <v>4164.7630079152732</v>
      </c>
      <c r="BJ55" s="241">
        <f t="shared" si="72"/>
        <v>614.38186289069017</v>
      </c>
      <c r="BK55" s="241">
        <f t="shared" si="73"/>
        <v>3013.6809237189118</v>
      </c>
      <c r="BL55" s="245">
        <f t="shared" si="74"/>
        <v>1705.2250522572801</v>
      </c>
      <c r="BM55" s="241">
        <f t="shared" si="75"/>
        <v>208.52522594423172</v>
      </c>
      <c r="BN55" s="241">
        <f t="shared" si="76"/>
        <v>1591.2333718142468</v>
      </c>
      <c r="BO55" s="241">
        <f t="shared" si="70"/>
        <v>11297.809444540633</v>
      </c>
      <c r="BP55" s="228">
        <v>11808.236701862401</v>
      </c>
    </row>
    <row r="56" spans="1:68" x14ac:dyDescent="0.25">
      <c r="A56" s="1" t="s">
        <v>48</v>
      </c>
      <c r="B56" s="40">
        <f>SUM('Datos Ing. est. noil'!B57:B60)</f>
        <v>4596.1191884</v>
      </c>
      <c r="C56" s="40">
        <f>SUM('Datos Ing. est. noil'!C57:C60)</f>
        <v>629.46069999999997</v>
      </c>
      <c r="D56" s="40">
        <f>SUM('Datos Ing. est. noil'!D57:D60)</f>
        <v>3040.0940999999998</v>
      </c>
      <c r="E56" s="40">
        <f>SUM('Datos Ing. est. noil'!E57:E60)</f>
        <v>1929.371938137135</v>
      </c>
      <c r="F56" s="40">
        <f>SUM('Datos Ing. est. noil'!F57:F60)</f>
        <v>204.4221</v>
      </c>
      <c r="G56" s="40">
        <f>SUM('Datos Ing. est. noil'!G56:G59)</f>
        <v>1461.7466019265498</v>
      </c>
      <c r="H56" s="40">
        <f t="shared" si="39"/>
        <v>11861.214628463686</v>
      </c>
      <c r="J56" s="31" t="s">
        <v>128</v>
      </c>
      <c r="K56" s="25">
        <v>61604.989864128504</v>
      </c>
      <c r="L56" s="25">
        <f>+SUM('Datos Ing. est. noil'!K57:K60)</f>
        <v>61933.289999999994</v>
      </c>
      <c r="M56" s="26">
        <f t="shared" si="77"/>
        <v>0.99469913295625845</v>
      </c>
      <c r="N56" s="25">
        <f>+SUM('Datos Ing. est. noil'!L57:L60)</f>
        <v>81976.646000000008</v>
      </c>
      <c r="O56" s="26">
        <f t="shared" si="78"/>
        <v>3.4057714638446424E-2</v>
      </c>
      <c r="P56" s="86"/>
      <c r="Q56" s="31" t="s">
        <v>128</v>
      </c>
      <c r="R56" s="233">
        <f t="shared" si="38"/>
        <v>4596.1191884</v>
      </c>
      <c r="S56" s="234">
        <f t="shared" si="48"/>
        <v>9.4212464002537549E-2</v>
      </c>
      <c r="T56" s="234">
        <f t="shared" si="49"/>
        <v>2.7662591281502129</v>
      </c>
      <c r="U56" s="234">
        <f t="shared" si="50"/>
        <v>4529.0387393565861</v>
      </c>
      <c r="W56" s="1" t="s">
        <v>128</v>
      </c>
      <c r="X56" s="17">
        <f t="shared" si="41"/>
        <v>629.46069999999997</v>
      </c>
      <c r="Y56" s="12">
        <f t="shared" si="51"/>
        <v>1.8758134793919645E-2</v>
      </c>
      <c r="Z56" s="12">
        <f t="shared" si="52"/>
        <v>0.55077491232322207</v>
      </c>
      <c r="AA56" s="12">
        <f t="shared" si="53"/>
        <v>627.6207425070744</v>
      </c>
      <c r="AC56" s="1" t="s">
        <v>128</v>
      </c>
      <c r="AD56" s="17">
        <f t="shared" si="42"/>
        <v>3040.0940999999998</v>
      </c>
      <c r="AE56" s="12">
        <f t="shared" si="54"/>
        <v>3.2642087419988918E-3</v>
      </c>
      <c r="AF56" s="12">
        <f t="shared" si="55"/>
        <v>9.5843446239756033E-2</v>
      </c>
      <c r="AG56" s="40">
        <f t="shared" si="56"/>
        <v>3038.5458561371656</v>
      </c>
      <c r="AI56" s="1" t="s">
        <v>128</v>
      </c>
      <c r="AJ56" s="17">
        <f t="shared" si="43"/>
        <v>1929.371938137135</v>
      </c>
      <c r="AK56" s="12">
        <f t="shared" si="57"/>
        <v>0.12539609335573615</v>
      </c>
      <c r="AL56" s="12">
        <f t="shared" si="58"/>
        <v>3.6818704568679839</v>
      </c>
      <c r="AM56" s="10">
        <f t="shared" si="59"/>
        <v>1891.9830488564182</v>
      </c>
      <c r="AN56" s="126">
        <v>2018.23522010539</v>
      </c>
      <c r="AO56" s="1" t="s">
        <v>128</v>
      </c>
      <c r="AP56" s="17">
        <f t="shared" si="44"/>
        <v>204.4221</v>
      </c>
      <c r="AQ56" s="12">
        <f t="shared" si="60"/>
        <v>9.7778508585586038E-3</v>
      </c>
      <c r="AR56" s="12">
        <f t="shared" si="61"/>
        <v>0.28709650551598581</v>
      </c>
      <c r="AS56" s="12">
        <f t="shared" si="62"/>
        <v>204.11040848658394</v>
      </c>
      <c r="AT56" s="125">
        <v>285.994077934774</v>
      </c>
      <c r="AU56" s="1" t="s">
        <v>128</v>
      </c>
      <c r="AV56" s="17">
        <f t="shared" si="45"/>
        <v>1461.7466019265498</v>
      </c>
      <c r="AW56" s="12">
        <f t="shared" si="63"/>
        <v>-7.7440692744163722E-2</v>
      </c>
      <c r="AX56" s="12">
        <f t="shared" si="64"/>
        <v>-2.2738076693127245</v>
      </c>
      <c r="AY56" s="12">
        <f t="shared" si="65"/>
        <v>1479.5192959328156</v>
      </c>
      <c r="AZ56" s="223">
        <v>1564.80892905011</v>
      </c>
      <c r="BA56" s="1" t="s">
        <v>128</v>
      </c>
      <c r="BB56" s="12">
        <f t="shared" si="46"/>
        <v>11861.214628463686</v>
      </c>
      <c r="BC56" s="12">
        <f t="shared" si="66"/>
        <v>4.5064214429650473E-2</v>
      </c>
      <c r="BD56" s="12">
        <f t="shared" si="67"/>
        <v>1.3231720010590271</v>
      </c>
      <c r="BE56" s="12">
        <f t="shared" si="68"/>
        <v>11778.091902057864</v>
      </c>
      <c r="BF56" s="126">
        <v>12166.988835648701</v>
      </c>
      <c r="BH56" s="238" t="s">
        <v>48</v>
      </c>
      <c r="BI56" s="241">
        <f t="shared" si="71"/>
        <v>4529.0387393565861</v>
      </c>
      <c r="BJ56" s="241">
        <f t="shared" si="72"/>
        <v>627.6207425070744</v>
      </c>
      <c r="BK56" s="241">
        <f t="shared" si="73"/>
        <v>3038.5458561371656</v>
      </c>
      <c r="BL56" s="245">
        <f t="shared" si="74"/>
        <v>1891.9830488564182</v>
      </c>
      <c r="BM56" s="241">
        <f t="shared" si="75"/>
        <v>204.11040848658394</v>
      </c>
      <c r="BN56" s="241">
        <f t="shared" si="76"/>
        <v>1479.5192959328156</v>
      </c>
      <c r="BO56" s="241">
        <f t="shared" si="70"/>
        <v>11770.818091276644</v>
      </c>
      <c r="BP56" s="228">
        <v>12163.436052831999</v>
      </c>
    </row>
    <row r="57" spans="1:68" x14ac:dyDescent="0.25">
      <c r="A57" s="1" t="s">
        <v>49</v>
      </c>
      <c r="B57" s="40">
        <f>SUM('Datos Ing. est. noil'!B58:B61)</f>
        <v>4888.8619884</v>
      </c>
      <c r="C57" s="40">
        <f>SUM('Datos Ing. est. noil'!C58:C61)</f>
        <v>653.58629999999994</v>
      </c>
      <c r="D57" s="40">
        <f>SUM('Datos Ing. est. noil'!D58:D61)</f>
        <v>3196.2253000000001</v>
      </c>
      <c r="E57" s="40">
        <f>SUM('Datos Ing. est. noil'!E58:E61)</f>
        <v>2129.6200018455056</v>
      </c>
      <c r="F57" s="40">
        <f>SUM('Datos Ing. est. noil'!F58:F61)</f>
        <v>230.55769999999998</v>
      </c>
      <c r="G57" s="40">
        <f>SUM('Datos Ing. est. noil'!G57:G60)</f>
        <v>1430.0388296014999</v>
      </c>
      <c r="H57" s="40">
        <f t="shared" si="39"/>
        <v>12528.890119847005</v>
      </c>
      <c r="J57" s="31" t="s">
        <v>49</v>
      </c>
      <c r="K57" s="25">
        <v>62531.283250338201</v>
      </c>
      <c r="L57" s="25">
        <f>+SUM('Datos Ing. est. noil'!K58:K61)</f>
        <v>62829.391000000003</v>
      </c>
      <c r="M57" s="26">
        <f t="shared" si="77"/>
        <v>0.9952552818845275</v>
      </c>
      <c r="N57" s="25">
        <f>+SUM('Datos Ing. est. noil'!L58:L61)</f>
        <v>84157.376000000004</v>
      </c>
      <c r="O57" s="26">
        <f t="shared" si="78"/>
        <v>2.6601844627798021E-2</v>
      </c>
      <c r="P57" s="86"/>
      <c r="Q57" s="31" t="s">
        <v>49</v>
      </c>
      <c r="R57" s="233">
        <f t="shared" si="38"/>
        <v>4888.8619884</v>
      </c>
      <c r="S57" s="234">
        <f t="shared" si="48"/>
        <v>6.3693474429219396E-2</v>
      </c>
      <c r="T57" s="234">
        <f t="shared" si="49"/>
        <v>2.3943254808225549</v>
      </c>
      <c r="U57" s="234">
        <f t="shared" si="50"/>
        <v>4833.5061641063512</v>
      </c>
      <c r="W57" s="1" t="s">
        <v>49</v>
      </c>
      <c r="X57" s="17">
        <f t="shared" si="41"/>
        <v>653.58629999999994</v>
      </c>
      <c r="Y57" s="12">
        <f t="shared" si="51"/>
        <v>3.8327412656580406E-2</v>
      </c>
      <c r="Z57" s="12">
        <f t="shared" si="52"/>
        <v>1.4407802614007288</v>
      </c>
      <c r="AA57" s="12">
        <f t="shared" si="53"/>
        <v>649.12299743024346</v>
      </c>
      <c r="AC57" s="1" t="s">
        <v>49</v>
      </c>
      <c r="AD57" s="17">
        <f t="shared" si="42"/>
        <v>3196.2253000000001</v>
      </c>
      <c r="AE57" s="12">
        <f t="shared" si="54"/>
        <v>5.1357357655475291E-2</v>
      </c>
      <c r="AF57" s="12">
        <f t="shared" si="55"/>
        <v>1.9305938506914142</v>
      </c>
      <c r="AG57" s="40">
        <f t="shared" si="56"/>
        <v>3167.0121249697036</v>
      </c>
      <c r="AI57" s="1" t="s">
        <v>49</v>
      </c>
      <c r="AJ57" s="17">
        <f t="shared" si="43"/>
        <v>2129.6200018455056</v>
      </c>
      <c r="AK57" s="12">
        <f t="shared" si="57"/>
        <v>0.103789248589215</v>
      </c>
      <c r="AL57" s="12">
        <f t="shared" si="58"/>
        <v>3.9015808881448306</v>
      </c>
      <c r="AM57" s="10">
        <f t="shared" si="59"/>
        <v>2090.4672448263755</v>
      </c>
      <c r="AN57" s="126">
        <v>2135.5393629336399</v>
      </c>
      <c r="AO57" s="1" t="s">
        <v>49</v>
      </c>
      <c r="AP57" s="17">
        <f t="shared" si="44"/>
        <v>230.55769999999998</v>
      </c>
      <c r="AQ57" s="12">
        <f t="shared" si="60"/>
        <v>0.12785114720962157</v>
      </c>
      <c r="AR57" s="12">
        <f t="shared" si="61"/>
        <v>4.8061008173854782</v>
      </c>
      <c r="AS57" s="12">
        <f t="shared" si="62"/>
        <v>225.34741833679556</v>
      </c>
      <c r="AT57" s="125">
        <v>280.3992748128</v>
      </c>
      <c r="AU57" s="1" t="s">
        <v>49</v>
      </c>
      <c r="AV57" s="17">
        <f t="shared" si="45"/>
        <v>1430.0388296014999</v>
      </c>
      <c r="AW57" s="12">
        <f t="shared" si="63"/>
        <v>-2.1691702435469886E-2</v>
      </c>
      <c r="AX57" s="12">
        <f t="shared" si="64"/>
        <v>-0.81542098824240161</v>
      </c>
      <c r="AY57" s="12">
        <f t="shared" si="65"/>
        <v>1435.5955030934476</v>
      </c>
      <c r="AZ57" s="223">
        <v>1522.31920511355</v>
      </c>
      <c r="BA57" s="1" t="s">
        <v>49</v>
      </c>
      <c r="BB57" s="12">
        <f t="shared" si="46"/>
        <v>12528.890119847005</v>
      </c>
      <c r="BC57" s="12">
        <f t="shared" si="66"/>
        <v>5.6290650856370084E-2</v>
      </c>
      <c r="BD57" s="12">
        <f t="shared" si="67"/>
        <v>2.1160431407658202</v>
      </c>
      <c r="BE57" s="12">
        <f t="shared" si="68"/>
        <v>12403.432697866276</v>
      </c>
      <c r="BF57" s="126">
        <v>12551.754578242801</v>
      </c>
      <c r="BH57" s="238" t="s">
        <v>49</v>
      </c>
      <c r="BI57" s="241">
        <f t="shared" si="71"/>
        <v>4833.5061641063512</v>
      </c>
      <c r="BJ57" s="241">
        <f t="shared" si="72"/>
        <v>649.12299743024346</v>
      </c>
      <c r="BK57" s="241">
        <f t="shared" si="73"/>
        <v>3167.0121249697036</v>
      </c>
      <c r="BL57" s="245">
        <f t="shared" si="74"/>
        <v>2090.4672448263755</v>
      </c>
      <c r="BM57" s="241">
        <f t="shared" si="75"/>
        <v>225.34741833679556</v>
      </c>
      <c r="BN57" s="241">
        <f t="shared" si="76"/>
        <v>1435.5955030934476</v>
      </c>
      <c r="BO57" s="241">
        <f t="shared" si="70"/>
        <v>12401.051452762917</v>
      </c>
      <c r="BP57" s="228">
        <v>12547.1206637777</v>
      </c>
    </row>
    <row r="58" spans="1:68" x14ac:dyDescent="0.25">
      <c r="A58" s="1" t="s">
        <v>50</v>
      </c>
      <c r="B58" s="40">
        <f>SUM('Datos Ing. est. noil'!B59:B62)</f>
        <v>5226.8544000000002</v>
      </c>
      <c r="C58" s="40">
        <f>SUM('Datos Ing. est. noil'!C59:C62)</f>
        <v>681.14059999999995</v>
      </c>
      <c r="D58" s="40">
        <f>SUM('Datos Ing. est. noil'!D59:D62)</f>
        <v>3252.8040000000001</v>
      </c>
      <c r="E58" s="40">
        <f>SUM('Datos Ing. est. noil'!E59:E62)</f>
        <v>2340.7219644077531</v>
      </c>
      <c r="F58" s="40">
        <f>SUM('Datos Ing. est. noil'!F59:F62)</f>
        <v>267.74379999999996</v>
      </c>
      <c r="G58" s="40">
        <f>SUM('Datos Ing. est. noil'!G58:G61)</f>
        <v>1323.6023325234978</v>
      </c>
      <c r="H58" s="40">
        <f t="shared" si="39"/>
        <v>13092.86709693125</v>
      </c>
      <c r="J58" s="31" t="s">
        <v>50</v>
      </c>
      <c r="K58" s="25">
        <v>63440.682318598199</v>
      </c>
      <c r="L58" s="25">
        <f>+SUM('Datos Ing. est. noil'!K59:K62)</f>
        <v>63617.247000000003</v>
      </c>
      <c r="M58" s="26">
        <f t="shared" si="77"/>
        <v>0.99722457840085721</v>
      </c>
      <c r="N58" s="25">
        <f>+SUM('Datos Ing. est. noil'!L59:L62)</f>
        <v>86295.843000000008</v>
      </c>
      <c r="O58" s="26">
        <f t="shared" si="78"/>
        <v>2.5410333611161962E-2</v>
      </c>
      <c r="P58" s="86"/>
      <c r="Q58" s="31" t="s">
        <v>50</v>
      </c>
      <c r="R58" s="233">
        <f t="shared" si="38"/>
        <v>5226.8544000000002</v>
      </c>
      <c r="S58" s="234">
        <f t="shared" si="48"/>
        <v>6.9135191871230656E-2</v>
      </c>
      <c r="T58" s="234">
        <f t="shared" si="49"/>
        <v>2.7207510507009531</v>
      </c>
      <c r="U58" s="234">
        <f t="shared" si="50"/>
        <v>5187.4793996125618</v>
      </c>
      <c r="W58" s="1" t="s">
        <v>50</v>
      </c>
      <c r="X58" s="17">
        <f t="shared" si="41"/>
        <v>681.14059999999995</v>
      </c>
      <c r="Y58" s="12">
        <f t="shared" si="51"/>
        <v>4.2158625417944066E-2</v>
      </c>
      <c r="Z58" s="12">
        <f t="shared" si="52"/>
        <v>1.6591134167331478</v>
      </c>
      <c r="AA58" s="12">
        <f t="shared" si="53"/>
        <v>678.00699488003545</v>
      </c>
      <c r="AC58" s="1" t="s">
        <v>50</v>
      </c>
      <c r="AD58" s="17">
        <f t="shared" si="42"/>
        <v>3252.8040000000001</v>
      </c>
      <c r="AE58" s="12">
        <f t="shared" si="54"/>
        <v>1.7701724593694953E-2</v>
      </c>
      <c r="AF58" s="12">
        <f t="shared" si="55"/>
        <v>0.6966348755814501</v>
      </c>
      <c r="AG58" s="40">
        <f t="shared" si="56"/>
        <v>3246.5121974555764</v>
      </c>
      <c r="AI58" s="1" t="s">
        <v>50</v>
      </c>
      <c r="AJ58" s="17">
        <f t="shared" si="43"/>
        <v>2340.7219644077531</v>
      </c>
      <c r="AK58" s="12">
        <f t="shared" si="57"/>
        <v>9.9126587080938786E-2</v>
      </c>
      <c r="AL58" s="12">
        <f t="shared" si="58"/>
        <v>3.901034460932681</v>
      </c>
      <c r="AM58" s="10">
        <f t="shared" si="59"/>
        <v>2315.4807784590112</v>
      </c>
      <c r="AN58" s="126">
        <v>2249.9739161572402</v>
      </c>
      <c r="AO58" s="1" t="s">
        <v>50</v>
      </c>
      <c r="AP58" s="17">
        <f t="shared" si="44"/>
        <v>267.74379999999996</v>
      </c>
      <c r="AQ58" s="12">
        <f t="shared" si="60"/>
        <v>0.1612876082646556</v>
      </c>
      <c r="AR58" s="12">
        <f t="shared" si="61"/>
        <v>6.3473235232853069</v>
      </c>
      <c r="AS58" s="12">
        <f t="shared" si="62"/>
        <v>263.0619517424285</v>
      </c>
      <c r="AT58" s="125">
        <v>277.76059218521601</v>
      </c>
      <c r="AU58" s="1" t="s">
        <v>50</v>
      </c>
      <c r="AV58" s="17">
        <f t="shared" si="45"/>
        <v>1323.6023325234978</v>
      </c>
      <c r="AW58" s="12">
        <f t="shared" si="63"/>
        <v>-7.44290958222876E-2</v>
      </c>
      <c r="AX58" s="12">
        <f t="shared" si="64"/>
        <v>-2.9290877074354205</v>
      </c>
      <c r="AY58" s="12">
        <f t="shared" si="65"/>
        <v>1334.4214336182845</v>
      </c>
      <c r="AZ58" s="223">
        <v>1502.9189367411</v>
      </c>
      <c r="BA58" s="1" t="s">
        <v>50</v>
      </c>
      <c r="BB58" s="12">
        <f t="shared" si="46"/>
        <v>13092.86709693125</v>
      </c>
      <c r="BC58" s="12">
        <f t="shared" si="66"/>
        <v>4.5014121098472248E-2</v>
      </c>
      <c r="BD58" s="12">
        <f t="shared" si="67"/>
        <v>1.7714887882738761</v>
      </c>
      <c r="BE58" s="12">
        <f t="shared" si="68"/>
        <v>13028.563269019358</v>
      </c>
      <c r="BF58" s="126">
        <v>12958.2292186305</v>
      </c>
      <c r="BH58" s="238" t="s">
        <v>50</v>
      </c>
      <c r="BI58" s="241">
        <f t="shared" si="71"/>
        <v>5187.4793996125618</v>
      </c>
      <c r="BJ58" s="241">
        <f t="shared" si="72"/>
        <v>678.00699488003545</v>
      </c>
      <c r="BK58" s="241">
        <f t="shared" si="73"/>
        <v>3246.5121974555764</v>
      </c>
      <c r="BL58" s="245">
        <f t="shared" si="74"/>
        <v>2315.4807784590112</v>
      </c>
      <c r="BM58" s="241">
        <f t="shared" si="75"/>
        <v>263.0619517424285</v>
      </c>
      <c r="BN58" s="241">
        <f t="shared" si="76"/>
        <v>1334.4214336182845</v>
      </c>
      <c r="BO58" s="241">
        <f t="shared" si="70"/>
        <v>13024.9627557679</v>
      </c>
      <c r="BP58" s="228">
        <v>12952.4808735636</v>
      </c>
    </row>
    <row r="59" spans="1:68" x14ac:dyDescent="0.25">
      <c r="A59" s="1" t="s">
        <v>51</v>
      </c>
      <c r="B59" s="40">
        <f>SUM('Datos Ing. est. noil'!B60:B63)</f>
        <v>5414.9780000000001</v>
      </c>
      <c r="C59" s="40">
        <f>SUM('Datos Ing. est. noil'!C60:C63)</f>
        <v>684.50279999999998</v>
      </c>
      <c r="D59" s="40">
        <f>SUM('Datos Ing. est. noil'!D60:D63)</f>
        <v>3312.9325999999996</v>
      </c>
      <c r="E59" s="40">
        <f>SUM('Datos Ing. est. noil'!E60:E63)</f>
        <v>2536.42649454</v>
      </c>
      <c r="F59" s="40">
        <f>SUM('Datos Ing. est. noil'!F60:F63)</f>
        <v>305.84590000000003</v>
      </c>
      <c r="G59" s="40">
        <f>SUM('Datos Ing. est. noil'!G59:G62)</f>
        <v>1300.8304579414357</v>
      </c>
      <c r="H59" s="40">
        <f>+SUM(B59:G59)</f>
        <v>13555.516252481437</v>
      </c>
      <c r="J59" s="31" t="s">
        <v>51</v>
      </c>
      <c r="K59" s="25">
        <v>64324.3988107443</v>
      </c>
      <c r="L59" s="25">
        <f>+SUM('Datos Ing. est. noil'!K60:K63)</f>
        <v>64362.433000000005</v>
      </c>
      <c r="M59" s="26">
        <f t="shared" si="77"/>
        <v>0.99940906228240778</v>
      </c>
      <c r="N59" s="25">
        <f>+SUM('Datos Ing. est. noil'!L60:L63)</f>
        <v>87924.544000000009</v>
      </c>
      <c r="O59" s="26">
        <f t="shared" si="78"/>
        <v>1.8873458365775475E-2</v>
      </c>
      <c r="P59" s="86"/>
      <c r="Q59" s="31" t="s">
        <v>51</v>
      </c>
      <c r="R59" s="233">
        <f t="shared" ref="R59:R70" si="79">B59</f>
        <v>5414.9780000000001</v>
      </c>
      <c r="S59" s="234">
        <f t="shared" ref="S59:S69" si="80">(R59-R58)/R58</f>
        <v>3.599174294964097E-2</v>
      </c>
      <c r="T59" s="234">
        <f t="shared" ref="T59:T69" si="81">S59/O59</f>
        <v>1.9070030649447502</v>
      </c>
      <c r="U59" s="234">
        <f t="shared" ref="U59:U69" si="82">R59*((M59)^T59)</f>
        <v>5408.8773881612815</v>
      </c>
      <c r="W59" s="1" t="s">
        <v>51</v>
      </c>
      <c r="X59" s="17">
        <f t="shared" ref="X59:X79" si="83">C59</f>
        <v>684.50279999999998</v>
      </c>
      <c r="Y59" s="12">
        <f t="shared" ref="Y59:Y71" si="84">(X59-X58)/X58</f>
        <v>4.9361321289613774E-3</v>
      </c>
      <c r="Z59" s="12">
        <f t="shared" ref="Z59:Z71" si="85">Y59/O59</f>
        <v>0.26153829538270534</v>
      </c>
      <c r="AA59" s="12">
        <f t="shared" ref="AA59:AA79" si="86">X59*((M59)^Z59)</f>
        <v>684.39698505509807</v>
      </c>
      <c r="AC59" s="1" t="s">
        <v>51</v>
      </c>
      <c r="AD59" s="17">
        <f t="shared" ref="AD59:AD79" si="87">D59</f>
        <v>3312.9325999999996</v>
      </c>
      <c r="AE59" s="12">
        <f t="shared" ref="AE59:AE79" si="88">(AD59-AD58)/AD58</f>
        <v>1.8485159265667267E-2</v>
      </c>
      <c r="AF59" s="12">
        <f t="shared" ref="AF59:AF79" si="89">AE59/O59</f>
        <v>0.9794261818590525</v>
      </c>
      <c r="AG59" s="40">
        <f t="shared" ref="AG59:AG79" si="90">AD59*((M59)^AF59)</f>
        <v>3311.0151296338831</v>
      </c>
      <c r="AI59" s="1" t="s">
        <v>51</v>
      </c>
      <c r="AJ59" s="17">
        <f t="shared" ref="AJ59:AJ79" si="91">E59</f>
        <v>2536.42649454</v>
      </c>
      <c r="AK59" s="12">
        <f t="shared" ref="AK59:AK79" si="92">(AJ59-AJ58)/AJ58</f>
        <v>8.3608618668968585E-2</v>
      </c>
      <c r="AL59" s="12">
        <f t="shared" ref="AL59:AL69" si="93">AK59/O59</f>
        <v>4.4299575122162969</v>
      </c>
      <c r="AM59" s="10">
        <f t="shared" ref="AM59:AM79" si="94">AJ59*((M59)^AL59)</f>
        <v>2529.7932897422447</v>
      </c>
      <c r="AN59" s="126">
        <v>2357.8225803168002</v>
      </c>
      <c r="AO59" s="1" t="s">
        <v>51</v>
      </c>
      <c r="AP59" s="17">
        <f t="shared" ref="AP59:AP71" si="95">F59</f>
        <v>305.84590000000003</v>
      </c>
      <c r="AQ59" s="12">
        <f t="shared" ref="AQ59:AQ78" si="96">(AP59-AP58)/AP58</f>
        <v>0.14230805718003581</v>
      </c>
      <c r="AR59" s="12">
        <f t="shared" ref="AR59:AR79" si="97">AQ59/O59</f>
        <v>7.5401155645163938</v>
      </c>
      <c r="AS59" s="12">
        <f t="shared" ref="AS59:AS72" si="98">AP59*((M59)^AR59)</f>
        <v>304.48576113698726</v>
      </c>
      <c r="AT59" s="125">
        <v>277.80987058116199</v>
      </c>
      <c r="AU59" s="1" t="s">
        <v>51</v>
      </c>
      <c r="AV59" s="17">
        <f t="shared" ref="AV59:AV79" si="99">G59</f>
        <v>1300.8304579414357</v>
      </c>
      <c r="AW59" s="12">
        <f t="shared" ref="AW59:AW79" si="100">(AV59-AV58)/AV58</f>
        <v>-1.7204468458926515E-2</v>
      </c>
      <c r="AX59" s="12">
        <f t="shared" ref="AX59:AX79" si="101">AW59/O59</f>
        <v>-0.9115694710262825</v>
      </c>
      <c r="AY59" s="12">
        <f t="shared" ref="AY59:AY79" si="102">AV59*((M59)^AX59)</f>
        <v>1301.5315863178375</v>
      </c>
      <c r="AZ59" s="223">
        <v>1508.9320635865499</v>
      </c>
      <c r="BA59" s="1" t="s">
        <v>51</v>
      </c>
      <c r="BB59" s="12">
        <f>H59</f>
        <v>13555.516252481437</v>
      </c>
      <c r="BC59" s="12">
        <f t="shared" ref="BC59:BC79" si="103">(BB59/BB58)-1</f>
        <v>3.5335969740243112E-2</v>
      </c>
      <c r="BD59" s="12">
        <f t="shared" ref="BD59:BD71" si="104">BC59/O59</f>
        <v>1.872257275556886</v>
      </c>
      <c r="BE59" s="12">
        <f t="shared" ref="BE59:BE82" si="105">BB59*((M59)^BD59)</f>
        <v>13540.522464906519</v>
      </c>
      <c r="BF59" s="126">
        <v>13379.299693553799</v>
      </c>
      <c r="BH59" s="238" t="s">
        <v>51</v>
      </c>
      <c r="BI59" s="241">
        <f t="shared" si="71"/>
        <v>5408.8773881612815</v>
      </c>
      <c r="BJ59" s="241">
        <f t="shared" si="72"/>
        <v>684.39698505509807</v>
      </c>
      <c r="BK59" s="241">
        <f t="shared" si="73"/>
        <v>3311.0151296338831</v>
      </c>
      <c r="BL59" s="245">
        <f t="shared" si="74"/>
        <v>2529.7932897422447</v>
      </c>
      <c r="BM59" s="241">
        <f t="shared" si="75"/>
        <v>304.48576113698726</v>
      </c>
      <c r="BN59" s="241">
        <f t="shared" si="76"/>
        <v>1301.5315863178375</v>
      </c>
      <c r="BO59" s="241">
        <f t="shared" si="70"/>
        <v>13540.100140047332</v>
      </c>
      <c r="BP59" s="228">
        <v>13372.524814415599</v>
      </c>
    </row>
    <row r="60" spans="1:68" x14ac:dyDescent="0.25">
      <c r="A60" s="1" t="s">
        <v>127</v>
      </c>
      <c r="B60" s="40">
        <f>SUM('Datos Ing. est. noil'!B61:B64)</f>
        <v>5592.085</v>
      </c>
      <c r="C60" s="40">
        <f>SUM('Datos Ing. est. noil'!C61:C64)</f>
        <v>715.22294465000004</v>
      </c>
      <c r="D60" s="40">
        <f>SUM('Datos Ing. est. noil'!D61:D64)</f>
        <v>3408.3144999999995</v>
      </c>
      <c r="E60" s="40">
        <f>SUM('Datos Ing. est. noil'!E61:E64)</f>
        <v>2593.1323175400003</v>
      </c>
      <c r="F60" s="40">
        <f>SUM('Datos Ing. est. noil'!F61:F64)</f>
        <v>324.53059999999999</v>
      </c>
      <c r="G60" s="40">
        <f>SUM('Datos Ing. est. noil'!G60:G63)</f>
        <v>1182.5895161154717</v>
      </c>
      <c r="H60" s="40">
        <f>SUM('Datos Ing. est. noil'!H60:H63)</f>
        <v>13437.27531065547</v>
      </c>
      <c r="J60" s="31" t="s">
        <v>127</v>
      </c>
      <c r="K60" s="25">
        <v>65175.409645426502</v>
      </c>
      <c r="L60" s="25">
        <f>+SUM('Datos Ing. est. noil'!K61:K64)</f>
        <v>65022.555999999997</v>
      </c>
      <c r="M60" s="26">
        <f t="shared" si="77"/>
        <v>1.0023507787886177</v>
      </c>
      <c r="N60" s="25">
        <f>+SUM('Datos Ing. est. noil'!L61:L64)</f>
        <v>89321.393000000011</v>
      </c>
      <c r="O60" s="26">
        <f t="shared" si="78"/>
        <v>1.5886906391007205E-2</v>
      </c>
      <c r="P60" s="86"/>
      <c r="Q60" s="31" t="s">
        <v>127</v>
      </c>
      <c r="R60" s="233">
        <f t="shared" si="79"/>
        <v>5592.085</v>
      </c>
      <c r="S60" s="234">
        <f t="shared" si="80"/>
        <v>3.2706873416660232E-2</v>
      </c>
      <c r="T60" s="234">
        <f t="shared" si="81"/>
        <v>2.0587314239589136</v>
      </c>
      <c r="U60" s="234">
        <f t="shared" si="82"/>
        <v>5619.1822585559394</v>
      </c>
      <c r="W60" s="1" t="s">
        <v>127</v>
      </c>
      <c r="X60" s="17">
        <f t="shared" si="83"/>
        <v>715.22294465000004</v>
      </c>
      <c r="Y60" s="12">
        <f t="shared" si="84"/>
        <v>4.4879501807735582E-2</v>
      </c>
      <c r="Z60" s="12">
        <f t="shared" si="85"/>
        <v>2.8249365045129022</v>
      </c>
      <c r="AA60" s="12">
        <f t="shared" si="86"/>
        <v>719.98279240628813</v>
      </c>
      <c r="AC60" s="1" t="s">
        <v>127</v>
      </c>
      <c r="AD60" s="17">
        <f t="shared" si="87"/>
        <v>3408.3144999999995</v>
      </c>
      <c r="AE60" s="12">
        <f t="shared" si="88"/>
        <v>2.8790775882370764E-2</v>
      </c>
      <c r="AF60" s="12">
        <f t="shared" si="89"/>
        <v>1.8122329907267412</v>
      </c>
      <c r="AG60" s="40">
        <f t="shared" si="90"/>
        <v>3422.8483212890178</v>
      </c>
      <c r="AI60" s="1" t="s">
        <v>127</v>
      </c>
      <c r="AJ60" s="17">
        <f t="shared" si="91"/>
        <v>2593.1323175400003</v>
      </c>
      <c r="AK60" s="12">
        <f t="shared" si="92"/>
        <v>2.2356580457611196E-2</v>
      </c>
      <c r="AL60" s="12">
        <f t="shared" si="93"/>
        <v>1.4072330954418006</v>
      </c>
      <c r="AM60" s="10">
        <f t="shared" si="94"/>
        <v>2601.7147464261852</v>
      </c>
      <c r="AN60" s="126">
        <v>2456.2765167913199</v>
      </c>
      <c r="AO60" s="1" t="s">
        <v>127</v>
      </c>
      <c r="AP60" s="17">
        <f t="shared" si="95"/>
        <v>324.53059999999999</v>
      </c>
      <c r="AQ60" s="12">
        <f t="shared" si="96"/>
        <v>6.1091876660762698E-2</v>
      </c>
      <c r="AR60" s="12">
        <f t="shared" si="97"/>
        <v>3.8454230897554607</v>
      </c>
      <c r="AS60" s="12">
        <f t="shared" si="98"/>
        <v>327.47409773480007</v>
      </c>
      <c r="AT60" s="125">
        <v>280.17874460792302</v>
      </c>
      <c r="AU60" s="1" t="s">
        <v>127</v>
      </c>
      <c r="AV60" s="17">
        <f t="shared" si="99"/>
        <v>1182.5895161154717</v>
      </c>
      <c r="AW60" s="12">
        <f t="shared" si="100"/>
        <v>-9.0896504693686445E-2</v>
      </c>
      <c r="AX60" s="12">
        <f t="shared" si="101"/>
        <v>-5.7214729196829959</v>
      </c>
      <c r="AY60" s="12">
        <f t="shared" si="102"/>
        <v>1166.8086894465073</v>
      </c>
      <c r="AZ60" s="223">
        <v>1540.8893359363201</v>
      </c>
      <c r="BA60" s="1" t="s">
        <v>127</v>
      </c>
      <c r="BB60" s="12">
        <f>H60</f>
        <v>13437.27531065547</v>
      </c>
      <c r="BC60" s="12">
        <f t="shared" si="103"/>
        <v>-8.7227177204941553E-3</v>
      </c>
      <c r="BD60" s="12">
        <f t="shared" si="104"/>
        <v>-0.54905074064209602</v>
      </c>
      <c r="BE60" s="12">
        <f t="shared" si="105"/>
        <v>13419.963376871223</v>
      </c>
      <c r="BF60" s="126">
        <v>13809.199647568499</v>
      </c>
      <c r="BH60" s="238" t="s">
        <v>127</v>
      </c>
      <c r="BI60" s="241">
        <f t="shared" si="71"/>
        <v>5619.1822585559394</v>
      </c>
      <c r="BJ60" s="241">
        <f t="shared" si="72"/>
        <v>719.98279240628813</v>
      </c>
      <c r="BK60" s="241">
        <f t="shared" si="73"/>
        <v>3422.8483212890178</v>
      </c>
      <c r="BL60" s="245">
        <f t="shared" si="74"/>
        <v>2601.7147464261852</v>
      </c>
      <c r="BM60" s="241">
        <f t="shared" si="75"/>
        <v>327.47409773480007</v>
      </c>
      <c r="BN60" s="241">
        <f t="shared" si="76"/>
        <v>1166.8086894465073</v>
      </c>
      <c r="BO60" s="241">
        <f t="shared" si="70"/>
        <v>13858.010905858737</v>
      </c>
      <c r="BP60" s="228">
        <v>13801.6648098244</v>
      </c>
    </row>
    <row r="61" spans="1:68" x14ac:dyDescent="0.25">
      <c r="A61" s="1" t="s">
        <v>130</v>
      </c>
      <c r="B61" s="40">
        <f>SUM('Datos Ing. est. noil'!B62:B65)</f>
        <v>5788.1287000000002</v>
      </c>
      <c r="C61" s="40">
        <f>SUM('Datos Ing. est. noil'!C62:C65)</f>
        <v>719.63810050000006</v>
      </c>
      <c r="D61" s="40">
        <f>SUM('Datos Ing. est. noil'!D62:D65)</f>
        <v>3555.7115000000003</v>
      </c>
      <c r="E61" s="40">
        <f>SUM('Datos Ing. est. noil'!E62:E65)</f>
        <v>2640.8948209999999</v>
      </c>
      <c r="F61" s="40">
        <f>SUM('Datos Ing. est. noil'!F62:F65)</f>
        <v>342.43714202000001</v>
      </c>
      <c r="G61" s="40">
        <f>SUM('Datos Ing. est. noil'!G61:G64)</f>
        <v>1436.72008789243</v>
      </c>
      <c r="H61" s="40">
        <f>SUM('Datos Ing. est. noil'!H61:H64)</f>
        <v>14070.005450082428</v>
      </c>
      <c r="J61" s="31" t="s">
        <v>130</v>
      </c>
      <c r="K61" s="25">
        <v>65987.071753187105</v>
      </c>
      <c r="L61" s="25">
        <f>+SUM('Datos Ing. est. noil'!K62:K65)</f>
        <v>65751.953999999998</v>
      </c>
      <c r="M61" s="26">
        <f t="shared" si="77"/>
        <v>1.0035758291409425</v>
      </c>
      <c r="N61" s="25">
        <f>+SUM('Datos Ing. est. noil'!L62:L65)</f>
        <v>90853.872999999992</v>
      </c>
      <c r="O61" s="26">
        <f t="shared" si="78"/>
        <v>1.715692006728986E-2</v>
      </c>
      <c r="P61" s="86"/>
      <c r="Q61" s="31" t="s">
        <v>130</v>
      </c>
      <c r="R61" s="233">
        <f t="shared" si="79"/>
        <v>5788.1287000000002</v>
      </c>
      <c r="S61" s="234">
        <f t="shared" si="80"/>
        <v>3.5057353384292292E-2</v>
      </c>
      <c r="T61" s="234">
        <f t="shared" si="81"/>
        <v>2.0433360560518143</v>
      </c>
      <c r="U61" s="234">
        <f t="shared" si="82"/>
        <v>5830.499255230412</v>
      </c>
      <c r="W61" s="1" t="s">
        <v>130</v>
      </c>
      <c r="X61" s="17">
        <f t="shared" si="83"/>
        <v>719.63810050000006</v>
      </c>
      <c r="Y61" s="12">
        <f t="shared" si="84"/>
        <v>6.1731183025183992E-3</v>
      </c>
      <c r="Z61" s="12">
        <f t="shared" si="85"/>
        <v>0.35980340750596718</v>
      </c>
      <c r="AA61" s="12">
        <f t="shared" si="86"/>
        <v>720.56292593421517</v>
      </c>
      <c r="AC61" s="1" t="s">
        <v>130</v>
      </c>
      <c r="AD61" s="17">
        <f t="shared" si="87"/>
        <v>3555.7115000000003</v>
      </c>
      <c r="AE61" s="12">
        <f t="shared" si="88"/>
        <v>4.3246302534581497E-2</v>
      </c>
      <c r="AF61" s="12">
        <f t="shared" si="89"/>
        <v>2.5206332118450421</v>
      </c>
      <c r="AG61" s="40">
        <f t="shared" si="90"/>
        <v>3587.8475727274313</v>
      </c>
      <c r="AI61" s="1" t="s">
        <v>130</v>
      </c>
      <c r="AJ61" s="17">
        <f t="shared" si="91"/>
        <v>2640.8948209999999</v>
      </c>
      <c r="AK61" s="12">
        <f t="shared" si="92"/>
        <v>1.8418845477700098E-2</v>
      </c>
      <c r="AL61" s="12">
        <f t="shared" si="93"/>
        <v>1.0735519781791216</v>
      </c>
      <c r="AM61" s="10">
        <f t="shared" si="94"/>
        <v>2651.0341212960548</v>
      </c>
      <c r="AN61" s="126">
        <v>2544.3129611566301</v>
      </c>
      <c r="AO61" s="1" t="s">
        <v>130</v>
      </c>
      <c r="AP61" s="17">
        <f t="shared" si="95"/>
        <v>342.43714202000001</v>
      </c>
      <c r="AQ61" s="12">
        <f t="shared" si="96"/>
        <v>5.5176744565843767E-2</v>
      </c>
      <c r="AR61" s="12">
        <f t="shared" si="97"/>
        <v>3.2160052240984527</v>
      </c>
      <c r="AS61" s="12">
        <f t="shared" si="98"/>
        <v>346.39075487744731</v>
      </c>
      <c r="AT61" s="125">
        <v>284.77925016697299</v>
      </c>
      <c r="AU61" s="1" t="s">
        <v>130</v>
      </c>
      <c r="AV61" s="17">
        <f t="shared" si="99"/>
        <v>1436.72008789243</v>
      </c>
      <c r="AW61" s="12">
        <f t="shared" si="100"/>
        <v>0.21489330686079258</v>
      </c>
      <c r="AX61" s="12">
        <f t="shared" si="101"/>
        <v>12.525168038201249</v>
      </c>
      <c r="AY61" s="12">
        <f t="shared" si="102"/>
        <v>1502.4104324209532</v>
      </c>
      <c r="AZ61" s="223">
        <v>1597.2404834409399</v>
      </c>
      <c r="BA61" s="1" t="s">
        <v>130</v>
      </c>
      <c r="BB61" s="12">
        <f>H61</f>
        <v>14070.005450082428</v>
      </c>
      <c r="BC61" s="12">
        <f t="shared" si="103"/>
        <v>4.7087681453189978E-2</v>
      </c>
      <c r="BD61" s="12">
        <f t="shared" si="104"/>
        <v>2.7445299779045969</v>
      </c>
      <c r="BE61" s="12">
        <f t="shared" si="105"/>
        <v>14208.519136856556</v>
      </c>
      <c r="BF61" s="126">
        <v>14243.9247282945</v>
      </c>
      <c r="BH61" s="238" t="s">
        <v>139</v>
      </c>
      <c r="BI61" s="241">
        <f t="shared" si="71"/>
        <v>5830.499255230412</v>
      </c>
      <c r="BJ61" s="241">
        <f t="shared" si="72"/>
        <v>720.56292593421517</v>
      </c>
      <c r="BK61" s="241">
        <f t="shared" si="73"/>
        <v>3587.8475727274313</v>
      </c>
      <c r="BL61" s="245">
        <f t="shared" si="74"/>
        <v>2651.0341212960548</v>
      </c>
      <c r="BM61" s="241">
        <f t="shared" si="75"/>
        <v>346.39075487744731</v>
      </c>
      <c r="BN61" s="241">
        <f t="shared" si="76"/>
        <v>1502.4104324209532</v>
      </c>
      <c r="BO61" s="241">
        <f t="shared" ref="BO61:BO68" si="106">+SUM(BI61:BN61)</f>
        <v>14638.745062486514</v>
      </c>
      <c r="BP61" s="228">
        <v>14236.1429351364</v>
      </c>
    </row>
    <row r="62" spans="1:68" x14ac:dyDescent="0.25">
      <c r="A62" s="1" t="s">
        <v>137</v>
      </c>
      <c r="B62" s="40">
        <f>SUM('Datos Ing. est. noil'!B63:B66)</f>
        <v>5945.6323899999998</v>
      </c>
      <c r="C62" s="40">
        <f>SUM('Datos Ing. est. noil'!C63:C66)</f>
        <v>720.96202789000006</v>
      </c>
      <c r="D62" s="40">
        <f>SUM('Datos Ing. est. noil'!D63:D66)</f>
        <v>3736.90571</v>
      </c>
      <c r="E62" s="40">
        <f>SUM('Datos Ing. est. noil'!E63:E66)</f>
        <v>2675.5329430000002</v>
      </c>
      <c r="F62" s="40">
        <f>SUM('Datos Ing. est. noil'!F63:F66)</f>
        <v>347.31011202000002</v>
      </c>
      <c r="G62" s="40">
        <f>SUM('Datos Ing. est. noil'!G62:G65)</f>
        <v>1667.5835464456959</v>
      </c>
      <c r="H62" s="40">
        <f>SUM('Datos Ing. est. noil'!H62:H65)</f>
        <v>14714.393809965695</v>
      </c>
      <c r="J62" s="31" t="s">
        <v>137</v>
      </c>
      <c r="K62" s="25">
        <v>66751.213968114302</v>
      </c>
      <c r="L62" s="25">
        <f>+SUM('Datos Ing. est. noil'!K63:K66)</f>
        <v>66686.614000000001</v>
      </c>
      <c r="M62" s="26">
        <f t="shared" si="77"/>
        <v>1.0009687096740929</v>
      </c>
      <c r="N62" s="25">
        <f>+SUM('Datos Ing. est. noil'!L63:L66)</f>
        <v>92985.512000000002</v>
      </c>
      <c r="O62" s="26">
        <f t="shared" ref="O62:O70" si="107">(N62/N61)-1</f>
        <v>2.3462279918435636E-2</v>
      </c>
      <c r="P62" s="86"/>
      <c r="Q62" s="31" t="s">
        <v>137</v>
      </c>
      <c r="R62" s="233">
        <f t="shared" si="79"/>
        <v>5945.6323899999998</v>
      </c>
      <c r="S62" s="234">
        <f t="shared" si="80"/>
        <v>2.7211504471211834E-2</v>
      </c>
      <c r="T62" s="234">
        <f t="shared" si="81"/>
        <v>1.1597979636169211</v>
      </c>
      <c r="U62" s="234">
        <f t="shared" si="82"/>
        <v>5952.3128695077639</v>
      </c>
      <c r="W62" s="1" t="s">
        <v>137</v>
      </c>
      <c r="X62" s="17">
        <f t="shared" si="83"/>
        <v>720.96202789000006</v>
      </c>
      <c r="Y62" s="12">
        <f t="shared" si="84"/>
        <v>1.8397127515624005E-3</v>
      </c>
      <c r="Z62" s="12">
        <f t="shared" si="85"/>
        <v>7.8411508086937212E-2</v>
      </c>
      <c r="AA62" s="12">
        <f t="shared" si="86"/>
        <v>721.01676628429641</v>
      </c>
      <c r="AC62" s="43" t="s">
        <v>137</v>
      </c>
      <c r="AD62" s="17">
        <f t="shared" si="87"/>
        <v>3736.90571</v>
      </c>
      <c r="AE62" s="12">
        <f t="shared" si="88"/>
        <v>5.0958636548550026E-2</v>
      </c>
      <c r="AF62" s="12">
        <f t="shared" si="89"/>
        <v>2.1719388194882523</v>
      </c>
      <c r="AG62" s="40">
        <f t="shared" si="90"/>
        <v>3744.7725411443676</v>
      </c>
      <c r="AI62" s="43" t="s">
        <v>137</v>
      </c>
      <c r="AJ62" s="17">
        <f t="shared" si="91"/>
        <v>2675.5329430000002</v>
      </c>
      <c r="AK62" s="12">
        <f t="shared" si="92"/>
        <v>1.3116055105475288E-2</v>
      </c>
      <c r="AL62" s="12">
        <f t="shared" si="93"/>
        <v>0.55902730472366691</v>
      </c>
      <c r="AM62" s="12">
        <f t="shared" si="94"/>
        <v>2676.9815288338355</v>
      </c>
      <c r="AN62" s="126">
        <v>2622.2776838206801</v>
      </c>
      <c r="AO62" s="43" t="s">
        <v>137</v>
      </c>
      <c r="AP62" s="17">
        <f t="shared" si="95"/>
        <v>347.31011202000002</v>
      </c>
      <c r="AQ62" s="12">
        <f t="shared" si="96"/>
        <v>1.4230261271469799E-2</v>
      </c>
      <c r="AR62" s="12">
        <f t="shared" si="97"/>
        <v>0.60651655853309805</v>
      </c>
      <c r="AS62" s="12">
        <f t="shared" si="98"/>
        <v>347.51413119453872</v>
      </c>
      <c r="AT62" s="125">
        <v>291.96693571370702</v>
      </c>
      <c r="AU62" s="43" t="s">
        <v>137</v>
      </c>
      <c r="AV62" s="17">
        <f t="shared" si="99"/>
        <v>1667.5835464456959</v>
      </c>
      <c r="AW62" s="12">
        <f t="shared" si="100"/>
        <v>0.16068784761820012</v>
      </c>
      <c r="AX62" s="12">
        <f t="shared" si="101"/>
        <v>6.848773783997804</v>
      </c>
      <c r="AY62" s="12">
        <f t="shared" si="102"/>
        <v>1678.6784759758655</v>
      </c>
      <c r="AZ62" s="223">
        <v>1672.8522423915899</v>
      </c>
      <c r="BA62" s="43" t="s">
        <v>137</v>
      </c>
      <c r="BB62" s="12">
        <f>H62</f>
        <v>14714.393809965695</v>
      </c>
      <c r="BC62" s="12">
        <f t="shared" si="103"/>
        <v>4.5798728520001442E-2</v>
      </c>
      <c r="BD62" s="12">
        <f t="shared" si="104"/>
        <v>1.9520152636153147</v>
      </c>
      <c r="BE62" s="12">
        <f t="shared" si="105"/>
        <v>14742.230617771538</v>
      </c>
      <c r="BF62" s="126">
        <v>14675.7515868766</v>
      </c>
      <c r="BH62" s="239" t="s">
        <v>137</v>
      </c>
      <c r="BI62" s="241">
        <f t="shared" si="71"/>
        <v>5952.3128695077639</v>
      </c>
      <c r="BJ62" s="241">
        <f t="shared" si="72"/>
        <v>721.01676628429641</v>
      </c>
      <c r="BK62" s="241">
        <f t="shared" si="73"/>
        <v>3744.7725411443676</v>
      </c>
      <c r="BL62" s="245">
        <f t="shared" si="74"/>
        <v>2676.9815288338355</v>
      </c>
      <c r="BM62" s="241">
        <f t="shared" si="75"/>
        <v>347.51413119453872</v>
      </c>
      <c r="BN62" s="241">
        <f t="shared" si="76"/>
        <v>1678.6784759758655</v>
      </c>
      <c r="BO62" s="241">
        <f t="shared" si="106"/>
        <v>15121.276312940669</v>
      </c>
      <c r="BP62" s="228">
        <v>14668.557617599499</v>
      </c>
    </row>
    <row r="63" spans="1:68" x14ac:dyDescent="0.25">
      <c r="A63" s="1" t="s">
        <v>138</v>
      </c>
      <c r="B63" s="40">
        <f>SUM('Datos Ing. est. noil'!B64:B67)</f>
        <v>6056.0806899999998</v>
      </c>
      <c r="C63" s="40">
        <f>SUM('Datos Ing. est. noil'!C64:C67)</f>
        <v>737.28020321999998</v>
      </c>
      <c r="D63" s="40">
        <f>SUM('Datos Ing. est. noil'!D64:D67)</f>
        <v>3847.4402100000002</v>
      </c>
      <c r="E63" s="40">
        <f>SUM('Datos Ing. est. noil'!E64:E67)</f>
        <v>2674.6723950000001</v>
      </c>
      <c r="F63" s="40">
        <f>SUM('Datos Ing. est. noil'!F64:F67)</f>
        <v>345.73461202000004</v>
      </c>
      <c r="G63" s="40">
        <f>SUM('Datos Ing. est. noil'!G63:G66)</f>
        <v>1894.7012556518657</v>
      </c>
      <c r="H63" s="40">
        <f>SUM('Datos Ing. est. noil'!H63:H66)</f>
        <v>15321.044438561867</v>
      </c>
      <c r="J63" s="31" t="s">
        <v>138</v>
      </c>
      <c r="K63" s="25">
        <v>67457.314406764606</v>
      </c>
      <c r="L63" s="25">
        <f>+SUM('Datos Ing. est. noil'!K64:K67)</f>
        <v>67546.127999999997</v>
      </c>
      <c r="M63" s="26">
        <f t="shared" si="77"/>
        <v>0.99868514160818533</v>
      </c>
      <c r="N63" s="25">
        <f>+SUM('Datos Ing. est. noil'!L64:L67)</f>
        <v>95129.659</v>
      </c>
      <c r="O63" s="26">
        <f t="shared" si="107"/>
        <v>2.3058936321176615E-2</v>
      </c>
      <c r="P63" s="86"/>
      <c r="Q63" s="31" t="s">
        <v>138</v>
      </c>
      <c r="R63" s="233">
        <f t="shared" si="79"/>
        <v>6056.0806899999998</v>
      </c>
      <c r="S63" s="234">
        <f t="shared" si="80"/>
        <v>1.8576375523277185E-2</v>
      </c>
      <c r="T63" s="234">
        <f t="shared" si="81"/>
        <v>0.8056041815865207</v>
      </c>
      <c r="U63" s="234">
        <f t="shared" si="82"/>
        <v>6049.6649334455178</v>
      </c>
      <c r="W63" s="1" t="s">
        <v>138</v>
      </c>
      <c r="X63" s="17">
        <f t="shared" si="83"/>
        <v>737.28020321999998</v>
      </c>
      <c r="Y63" s="12">
        <f t="shared" si="84"/>
        <v>2.263389013393316E-2</v>
      </c>
      <c r="Z63" s="12">
        <f t="shared" si="85"/>
        <v>0.9815669646976255</v>
      </c>
      <c r="AA63" s="12">
        <f t="shared" si="86"/>
        <v>736.32864195705031</v>
      </c>
      <c r="AC63" s="43" t="s">
        <v>138</v>
      </c>
      <c r="AD63" s="17">
        <f t="shared" si="87"/>
        <v>3847.4402100000002</v>
      </c>
      <c r="AE63" s="12">
        <f t="shared" si="88"/>
        <v>2.9579151463257073E-2</v>
      </c>
      <c r="AF63" s="12">
        <f t="shared" si="89"/>
        <v>1.2827630490523751</v>
      </c>
      <c r="AG63" s="40">
        <f t="shared" si="90"/>
        <v>3840.9521249165064</v>
      </c>
      <c r="AI63" s="43" t="s">
        <v>138</v>
      </c>
      <c r="AJ63" s="17">
        <f t="shared" si="91"/>
        <v>2674.6723950000001</v>
      </c>
      <c r="AK63" s="12">
        <f t="shared" si="92"/>
        <v>-3.2163610702367192E-4</v>
      </c>
      <c r="AL63" s="12">
        <f t="shared" si="93"/>
        <v>-1.3948436412840572E-2</v>
      </c>
      <c r="AM63" s="12">
        <f t="shared" si="94"/>
        <v>2674.7214818049006</v>
      </c>
      <c r="AN63" s="126">
        <v>2691.4822255798099</v>
      </c>
      <c r="AO63" s="43" t="s">
        <v>138</v>
      </c>
      <c r="AP63" s="17">
        <f t="shared" si="95"/>
        <v>345.73461202000004</v>
      </c>
      <c r="AQ63" s="12">
        <f t="shared" si="96"/>
        <v>-4.5362917619549492E-3</v>
      </c>
      <c r="AR63" s="12">
        <f t="shared" si="97"/>
        <v>-0.19672597637510969</v>
      </c>
      <c r="AS63" s="12">
        <f t="shared" si="98"/>
        <v>345.82411251410485</v>
      </c>
      <c r="AT63" s="125">
        <v>302.67395720185101</v>
      </c>
      <c r="AU63" s="43" t="s">
        <v>138</v>
      </c>
      <c r="AV63" s="17">
        <f t="shared" si="99"/>
        <v>1894.7012556518657</v>
      </c>
      <c r="AW63" s="12">
        <f t="shared" si="100"/>
        <v>0.13619570047344901</v>
      </c>
      <c r="AX63" s="12">
        <f t="shared" si="101"/>
        <v>5.9064173028818798</v>
      </c>
      <c r="AY63" s="12">
        <f t="shared" si="102"/>
        <v>1880.034193814048</v>
      </c>
      <c r="AZ63" s="223">
        <v>1760.9861442450199</v>
      </c>
      <c r="BA63" s="43" t="s">
        <v>138</v>
      </c>
      <c r="BB63" s="12">
        <f>H63</f>
        <v>15321.044438561867</v>
      </c>
      <c r="BC63" s="12">
        <f t="shared" si="103"/>
        <v>4.1228380620430549E-2</v>
      </c>
      <c r="BD63" s="12">
        <f t="shared" si="104"/>
        <v>1.7879567403361827</v>
      </c>
      <c r="BE63" s="12">
        <f t="shared" si="105"/>
        <v>15285.044703333255</v>
      </c>
      <c r="BF63" s="126">
        <v>15095.2176271762</v>
      </c>
      <c r="BH63" s="239" t="s">
        <v>138</v>
      </c>
      <c r="BI63" s="241">
        <f t="shared" si="71"/>
        <v>6049.6649334455178</v>
      </c>
      <c r="BJ63" s="241">
        <f t="shared" si="72"/>
        <v>736.32864195705031</v>
      </c>
      <c r="BK63" s="241">
        <f t="shared" si="73"/>
        <v>3840.9521249165064</v>
      </c>
      <c r="BL63" s="245">
        <f t="shared" si="74"/>
        <v>2674.7214818049006</v>
      </c>
      <c r="BM63" s="241">
        <f t="shared" si="75"/>
        <v>345.82411251410485</v>
      </c>
      <c r="BN63" s="241">
        <f t="shared" si="76"/>
        <v>1880.034193814048</v>
      </c>
      <c r="BO63" s="241">
        <f t="shared" si="106"/>
        <v>15527.525488452129</v>
      </c>
      <c r="BP63" s="228">
        <v>15089.8458551106</v>
      </c>
    </row>
    <row r="64" spans="1:68" x14ac:dyDescent="0.25">
      <c r="A64" s="1" t="s">
        <v>140</v>
      </c>
      <c r="B64" s="40">
        <f>SUM('Datos Ing. est. noil'!B65:B68)</f>
        <v>6134.0803399999995</v>
      </c>
      <c r="C64" s="40">
        <f>SUM('Datos Ing. est. noil'!C65:C68)</f>
        <v>746.50618341000006</v>
      </c>
      <c r="D64" s="40">
        <f>SUM('Datos Ing. est. noil'!D65:D68)</f>
        <v>3911.66831</v>
      </c>
      <c r="E64" s="40">
        <f>SUM('Datos Ing. est. noil'!E65:E68)</f>
        <v>2652.5345999400001</v>
      </c>
      <c r="F64" s="40">
        <f>SUM('Datos Ing. est. noil'!F65:F68)</f>
        <v>348.56997202000002</v>
      </c>
      <c r="G64" s="40">
        <f>SUM('Datos Ing. est. noil'!G64:G67)</f>
        <v>2055.6341231903289</v>
      </c>
      <c r="H64" s="40">
        <f>SUM('Datos Ing. est. noil'!H64:H67)</f>
        <v>15716.842233430329</v>
      </c>
      <c r="J64" s="31" t="s">
        <v>140</v>
      </c>
      <c r="K64" s="25">
        <v>68094.205046012998</v>
      </c>
      <c r="L64" s="25">
        <f>+SUM('Datos Ing. est. noil'!K65:K68)</f>
        <v>68183.490999999995</v>
      </c>
      <c r="M64" s="26">
        <f t="shared" si="77"/>
        <v>0.99869050480288557</v>
      </c>
      <c r="N64" s="25">
        <f>+SUM('Datos Ing. est. noil'!L65:L68)</f>
        <v>96941.365000000005</v>
      </c>
      <c r="O64" s="26">
        <f t="shared" si="107"/>
        <v>1.9044596806554459E-2</v>
      </c>
      <c r="P64" s="86"/>
      <c r="Q64" s="31" t="s">
        <v>140</v>
      </c>
      <c r="R64" s="233">
        <f t="shared" si="79"/>
        <v>6134.0803399999995</v>
      </c>
      <c r="S64" s="234">
        <f t="shared" si="80"/>
        <v>1.2879559238501452E-2</v>
      </c>
      <c r="T64" s="234">
        <f t="shared" si="81"/>
        <v>0.67628416444441475</v>
      </c>
      <c r="U64" s="234">
        <f t="shared" si="82"/>
        <v>6128.6469024338849</v>
      </c>
      <c r="W64" s="1" t="s">
        <v>140</v>
      </c>
      <c r="X64" s="17">
        <f t="shared" si="83"/>
        <v>746.50618341000006</v>
      </c>
      <c r="Y64" s="12">
        <f t="shared" si="84"/>
        <v>1.2513533049858807E-2</v>
      </c>
      <c r="Z64" s="12">
        <f t="shared" si="85"/>
        <v>0.65706474003965798</v>
      </c>
      <c r="AA64" s="12">
        <f t="shared" si="86"/>
        <v>745.8637279230054</v>
      </c>
      <c r="AC64" s="1" t="s">
        <v>140</v>
      </c>
      <c r="AD64" s="17">
        <f t="shared" si="87"/>
        <v>3911.66831</v>
      </c>
      <c r="AE64" s="12">
        <f t="shared" si="88"/>
        <v>1.6693722707649253E-2</v>
      </c>
      <c r="AF64" s="12">
        <f t="shared" si="89"/>
        <v>0.87655952379647539</v>
      </c>
      <c r="AG64" s="40">
        <f t="shared" si="90"/>
        <v>3907.1779365564521</v>
      </c>
      <c r="AI64" s="1" t="s">
        <v>140</v>
      </c>
      <c r="AJ64" s="17">
        <f t="shared" si="91"/>
        <v>2652.5345999400001</v>
      </c>
      <c r="AK64" s="12">
        <f t="shared" si="92"/>
        <v>-8.2768248931659964E-3</v>
      </c>
      <c r="AL64" s="12">
        <f t="shared" si="93"/>
        <v>-0.4346022642137225</v>
      </c>
      <c r="AM64" s="12">
        <f t="shared" si="94"/>
        <v>2654.045602249183</v>
      </c>
      <c r="AN64" s="126">
        <v>2753.7706503922</v>
      </c>
      <c r="AO64" s="1" t="s">
        <v>140</v>
      </c>
      <c r="AP64" s="17">
        <f t="shared" si="95"/>
        <v>348.56997202000002</v>
      </c>
      <c r="AQ64" s="12">
        <f t="shared" si="96"/>
        <v>8.2009723684707634E-3</v>
      </c>
      <c r="AR64" s="12">
        <f t="shared" si="97"/>
        <v>0.43061937471148176</v>
      </c>
      <c r="AS64" s="12">
        <f t="shared" si="98"/>
        <v>348.37334217653705</v>
      </c>
      <c r="AT64" s="125">
        <v>318.385901227994</v>
      </c>
      <c r="AU64" s="1" t="s">
        <v>140</v>
      </c>
      <c r="AV64" s="17">
        <f t="shared" si="99"/>
        <v>2055.6341231903289</v>
      </c>
      <c r="AW64" s="12">
        <f t="shared" si="100"/>
        <v>8.4938386491486606E-2</v>
      </c>
      <c r="AX64" s="12">
        <f t="shared" si="101"/>
        <v>4.4599729442554485</v>
      </c>
      <c r="AY64" s="12">
        <f t="shared" si="102"/>
        <v>2043.6557444735097</v>
      </c>
      <c r="AZ64" s="223">
        <v>1854.8509980341</v>
      </c>
      <c r="BA64" s="1" t="s">
        <v>140</v>
      </c>
      <c r="BB64" s="12">
        <f t="shared" ref="BB64:BB83" si="108">H64</f>
        <v>15716.842233430329</v>
      </c>
      <c r="BC64" s="12">
        <f t="shared" si="103"/>
        <v>2.5833603998449917E-2</v>
      </c>
      <c r="BD64" s="12">
        <f t="shared" si="104"/>
        <v>1.3564794393315236</v>
      </c>
      <c r="BE64" s="12">
        <f t="shared" si="105"/>
        <v>15688.930872513471</v>
      </c>
      <c r="BF64" s="126">
        <v>15493.2467371861</v>
      </c>
      <c r="BH64" s="238" t="s">
        <v>140</v>
      </c>
      <c r="BI64" s="241">
        <f t="shared" si="71"/>
        <v>6128.6469024338849</v>
      </c>
      <c r="BJ64" s="241">
        <f t="shared" si="72"/>
        <v>745.8637279230054</v>
      </c>
      <c r="BK64" s="241">
        <f t="shared" si="73"/>
        <v>3907.1779365564521</v>
      </c>
      <c r="BL64" s="245">
        <f t="shared" si="74"/>
        <v>2654.045602249183</v>
      </c>
      <c r="BM64" s="241">
        <f t="shared" si="75"/>
        <v>348.37334217653705</v>
      </c>
      <c r="BN64" s="241">
        <f t="shared" si="76"/>
        <v>2043.6557444735097</v>
      </c>
      <c r="BO64" s="241">
        <f t="shared" si="106"/>
        <v>15827.763255812573</v>
      </c>
      <c r="BP64" s="228">
        <v>15491.403069390401</v>
      </c>
    </row>
    <row r="65" spans="1:68" x14ac:dyDescent="0.25">
      <c r="A65" s="1" t="s">
        <v>139</v>
      </c>
      <c r="B65" s="40">
        <f>SUM('Datos Ing. est. noil'!B66:B69)</f>
        <v>6180.1915000000008</v>
      </c>
      <c r="C65" s="40">
        <f>SUM('Datos Ing. est. noil'!C66:C69)</f>
        <v>757.28922333000003</v>
      </c>
      <c r="D65" s="40">
        <f>SUM('Datos Ing. est. noil'!D66:D69)</f>
        <v>4021.1151500000001</v>
      </c>
      <c r="E65" s="40">
        <f>SUM('Datos Ing. est. noil'!E66:E69)</f>
        <v>2641.0240741000002</v>
      </c>
      <c r="F65" s="40">
        <f>SUM('Datos Ing. est. noil'!F66:F69)</f>
        <v>349.2124</v>
      </c>
      <c r="G65" s="40">
        <f>SUM('Datos Ing. est. noil'!G65:G68)</f>
        <v>2048.0660729603292</v>
      </c>
      <c r="H65" s="40">
        <f>SUM('Datos Ing. est. noil'!H65:H68)</f>
        <v>15841.425478330329</v>
      </c>
      <c r="J65" s="31" t="s">
        <v>139</v>
      </c>
      <c r="K65" s="25">
        <v>68651.605718666993</v>
      </c>
      <c r="L65" s="25">
        <f>+SUM('Datos Ing. est. noil'!K66:K69)</f>
        <v>68875.313999999998</v>
      </c>
      <c r="M65" s="26">
        <f t="shared" si="77"/>
        <v>0.99675198168486023</v>
      </c>
      <c r="N65" s="25">
        <f>+SUM('Datos Ing. est. noil'!L66:L69)</f>
        <v>99043.320999999996</v>
      </c>
      <c r="O65" s="26">
        <f t="shared" si="107"/>
        <v>2.1682756375464685E-2</v>
      </c>
      <c r="P65" s="86"/>
      <c r="Q65" s="31" t="s">
        <v>139</v>
      </c>
      <c r="R65" s="233">
        <f t="shared" si="79"/>
        <v>6180.1915000000008</v>
      </c>
      <c r="S65" s="234">
        <f t="shared" si="80"/>
        <v>7.5172083579200877E-3</v>
      </c>
      <c r="T65" s="234">
        <f t="shared" si="81"/>
        <v>0.34669062492563224</v>
      </c>
      <c r="U65" s="234">
        <f t="shared" si="82"/>
        <v>6173.2248521392776</v>
      </c>
      <c r="W65" s="1" t="s">
        <v>139</v>
      </c>
      <c r="X65" s="17">
        <f t="shared" si="83"/>
        <v>757.28922333000003</v>
      </c>
      <c r="Y65" s="12">
        <f t="shared" si="84"/>
        <v>1.4444675957998926E-2</v>
      </c>
      <c r="Z65" s="12">
        <f t="shared" si="85"/>
        <v>0.66618264338125976</v>
      </c>
      <c r="AA65" s="12">
        <f t="shared" si="86"/>
        <v>755.64973142372219</v>
      </c>
      <c r="AC65" s="1" t="s">
        <v>139</v>
      </c>
      <c r="AD65" s="17">
        <f t="shared" si="87"/>
        <v>4021.1151500000001</v>
      </c>
      <c r="AE65" s="12">
        <f t="shared" si="88"/>
        <v>2.7979580916971988E-2</v>
      </c>
      <c r="AF65" s="12">
        <f t="shared" si="89"/>
        <v>1.290407014332944</v>
      </c>
      <c r="AG65" s="40">
        <f t="shared" si="90"/>
        <v>4004.2695429849578</v>
      </c>
      <c r="AI65" s="1" t="s">
        <v>139</v>
      </c>
      <c r="AJ65" s="17">
        <f t="shared" si="91"/>
        <v>2641.0240741000002</v>
      </c>
      <c r="AK65" s="12">
        <f t="shared" si="92"/>
        <v>-4.3394441830316806E-3</v>
      </c>
      <c r="AL65" s="12">
        <f t="shared" si="93"/>
        <v>-0.20013341975017609</v>
      </c>
      <c r="AM65" s="12">
        <f t="shared" si="94"/>
        <v>2642.7441915103409</v>
      </c>
      <c r="AN65" s="126">
        <v>2810.8188999601898</v>
      </c>
      <c r="AO65" s="1" t="s">
        <v>139</v>
      </c>
      <c r="AP65" s="17">
        <f t="shared" si="95"/>
        <v>349.2124</v>
      </c>
      <c r="AQ65" s="12">
        <f t="shared" si="96"/>
        <v>1.8430387915431758E-3</v>
      </c>
      <c r="AR65" s="12">
        <f t="shared" si="97"/>
        <v>8.5000207521064186E-2</v>
      </c>
      <c r="AS65" s="12">
        <f t="shared" si="98"/>
        <v>349.11584509967344</v>
      </c>
      <c r="AT65" s="125">
        <v>341.01891481670498</v>
      </c>
      <c r="AU65" s="1" t="s">
        <v>139</v>
      </c>
      <c r="AV65" s="17">
        <f t="shared" si="99"/>
        <v>2048.0660729603292</v>
      </c>
      <c r="AW65" s="12">
        <f t="shared" si="100"/>
        <v>-3.6816134469757397E-3</v>
      </c>
      <c r="AX65" s="12">
        <f t="shared" si="101"/>
        <v>-0.16979453088084789</v>
      </c>
      <c r="AY65" s="12">
        <f t="shared" si="102"/>
        <v>2049.1977235161858</v>
      </c>
      <c r="AZ65" s="223">
        <v>1948.99275134922</v>
      </c>
      <c r="BA65" s="1" t="s">
        <v>139</v>
      </c>
      <c r="BB65" s="12">
        <f t="shared" si="108"/>
        <v>15841.425478330329</v>
      </c>
      <c r="BC65" s="12">
        <f t="shared" si="103"/>
        <v>7.9267350940894765E-3</v>
      </c>
      <c r="BD65" s="12">
        <f t="shared" si="104"/>
        <v>0.36557783322507115</v>
      </c>
      <c r="BE65" s="12">
        <f t="shared" si="105"/>
        <v>15822.595899686154</v>
      </c>
      <c r="BF65" s="126">
        <v>15863.020628627301</v>
      </c>
      <c r="BH65" s="238" t="s">
        <v>143</v>
      </c>
      <c r="BI65" s="241">
        <f t="shared" si="71"/>
        <v>6173.2248521392776</v>
      </c>
      <c r="BJ65" s="241">
        <f t="shared" si="72"/>
        <v>755.64973142372219</v>
      </c>
      <c r="BK65" s="241">
        <f t="shared" si="73"/>
        <v>4004.2695429849578</v>
      </c>
      <c r="BL65" s="245">
        <f t="shared" si="74"/>
        <v>2642.7441915103409</v>
      </c>
      <c r="BM65" s="241">
        <f t="shared" si="75"/>
        <v>349.11584509967344</v>
      </c>
      <c r="BN65" s="241">
        <f t="shared" si="76"/>
        <v>2049.1977235161858</v>
      </c>
      <c r="BO65" s="241">
        <f t="shared" si="106"/>
        <v>15974.201886674156</v>
      </c>
      <c r="BP65" s="228">
        <v>15866.9362236086</v>
      </c>
    </row>
    <row r="66" spans="1:68" x14ac:dyDescent="0.25">
      <c r="A66" s="1" t="s">
        <v>141</v>
      </c>
      <c r="B66" s="40">
        <f>SUM('Datos Ing. est. noil'!B67:B70)</f>
        <v>6253.2596100000001</v>
      </c>
      <c r="C66" s="40">
        <f>SUM('Datos Ing. est. noil'!C67:C70)</f>
        <v>783.38597353089108</v>
      </c>
      <c r="D66" s="40">
        <f>SUM('Datos Ing. est. noil'!D67:D70)</f>
        <v>4100.8267399999995</v>
      </c>
      <c r="E66" s="40">
        <f>SUM('Datos Ing. est. noil'!E67:E70)</f>
        <v>2646.5459057500002</v>
      </c>
      <c r="F66" s="40">
        <f>SUM('Datos Ing. est. noil'!F67:F70)</f>
        <v>355.82752999999997</v>
      </c>
      <c r="G66" s="40">
        <f>SUM('Datos Ing. est. noil'!G66:G69)</f>
        <v>2120.7188785263288</v>
      </c>
      <c r="H66" s="40">
        <f>SUM('Datos Ing. est. noil'!H66:H69)</f>
        <v>16069.551225956329</v>
      </c>
      <c r="J66" s="31" t="s">
        <v>141</v>
      </c>
      <c r="K66" s="25">
        <v>69120.129207074206</v>
      </c>
      <c r="L66" s="25">
        <f>+SUM('Datos Ing. est. noil'!K67:K70)</f>
        <v>69479.71699999999</v>
      </c>
      <c r="M66" s="26">
        <f t="shared" si="77"/>
        <v>0.99482456451390289</v>
      </c>
      <c r="N66" s="25">
        <f>+SUM('Datos Ing. est. noil'!L67:L70)</f>
        <v>100747.659</v>
      </c>
      <c r="O66" s="26">
        <f t="shared" si="107"/>
        <v>1.7208005373729351E-2</v>
      </c>
      <c r="P66" s="86"/>
      <c r="Q66" s="31" t="s">
        <v>141</v>
      </c>
      <c r="R66" s="233">
        <f t="shared" si="79"/>
        <v>6253.2596100000001</v>
      </c>
      <c r="S66" s="234">
        <f t="shared" si="80"/>
        <v>1.1822952411749578E-2</v>
      </c>
      <c r="T66" s="234">
        <f t="shared" si="81"/>
        <v>0.68706117617786899</v>
      </c>
      <c r="U66" s="234">
        <f t="shared" si="82"/>
        <v>6231.0059671605422</v>
      </c>
      <c r="W66" s="1" t="s">
        <v>141</v>
      </c>
      <c r="X66" s="17">
        <f t="shared" si="83"/>
        <v>783.38597353089108</v>
      </c>
      <c r="Y66" s="12">
        <f t="shared" si="84"/>
        <v>3.4460744187190161E-2</v>
      </c>
      <c r="Z66" s="12">
        <f t="shared" si="85"/>
        <v>2.0025995714645553</v>
      </c>
      <c r="AA66" s="12">
        <f t="shared" si="86"/>
        <v>775.28777168358693</v>
      </c>
      <c r="AC66" s="1" t="s">
        <v>141</v>
      </c>
      <c r="AD66" s="17">
        <f t="shared" si="87"/>
        <v>4100.8267399999995</v>
      </c>
      <c r="AE66" s="12">
        <f t="shared" si="88"/>
        <v>1.9823254750613008E-2</v>
      </c>
      <c r="AF66" s="12">
        <f t="shared" si="89"/>
        <v>1.1519786471519955</v>
      </c>
      <c r="AG66" s="40">
        <f t="shared" si="90"/>
        <v>4076.3872765746323</v>
      </c>
      <c r="AI66" s="1" t="s">
        <v>141</v>
      </c>
      <c r="AJ66" s="17">
        <f t="shared" si="91"/>
        <v>2646.5459057500002</v>
      </c>
      <c r="AK66" s="12">
        <f t="shared" si="92"/>
        <v>2.0907918652281424E-3</v>
      </c>
      <c r="AL66" s="12">
        <f t="shared" si="93"/>
        <v>0.12150111647571052</v>
      </c>
      <c r="AM66" s="12">
        <f t="shared" si="94"/>
        <v>2644.8779060513316</v>
      </c>
      <c r="AN66" s="126">
        <v>2863.2905094822299</v>
      </c>
      <c r="AO66" s="1" t="s">
        <v>141</v>
      </c>
      <c r="AP66" s="17">
        <f t="shared" si="95"/>
        <v>355.82752999999997</v>
      </c>
      <c r="AQ66" s="12">
        <f t="shared" si="96"/>
        <v>1.8942998587678919E-2</v>
      </c>
      <c r="AR66" s="12">
        <f t="shared" si="97"/>
        <v>1.1008247717424762</v>
      </c>
      <c r="AS66" s="12">
        <f t="shared" si="98"/>
        <v>353.80082220411219</v>
      </c>
      <c r="AT66" s="125">
        <v>372.79098598027599</v>
      </c>
      <c r="AU66" s="1" t="s">
        <v>141</v>
      </c>
      <c r="AV66" s="17">
        <f t="shared" si="99"/>
        <v>2120.7188785263288</v>
      </c>
      <c r="AW66" s="12">
        <f t="shared" si="100"/>
        <v>3.5473858253501238E-2</v>
      </c>
      <c r="AX66" s="12">
        <f t="shared" si="101"/>
        <v>2.0614741501451124</v>
      </c>
      <c r="AY66" s="12">
        <f t="shared" si="102"/>
        <v>2098.1550150870371</v>
      </c>
      <c r="AZ66" s="223">
        <v>2039.96514180043</v>
      </c>
      <c r="BA66" s="1" t="s">
        <v>141</v>
      </c>
      <c r="BB66" s="12">
        <f t="shared" si="108"/>
        <v>16069.551225956329</v>
      </c>
      <c r="BC66" s="12">
        <f t="shared" si="103"/>
        <v>1.4400582064919343E-2</v>
      </c>
      <c r="BD66" s="12">
        <f t="shared" si="104"/>
        <v>0.83685364759962422</v>
      </c>
      <c r="BE66" s="12">
        <f t="shared" si="105"/>
        <v>15999.923238847725</v>
      </c>
      <c r="BF66" s="126">
        <v>16199.956545849</v>
      </c>
      <c r="BH66" s="238" t="s">
        <v>141</v>
      </c>
      <c r="BI66" s="241">
        <f t="shared" si="71"/>
        <v>6231.0059671605422</v>
      </c>
      <c r="BJ66" s="241">
        <f t="shared" si="72"/>
        <v>775.28777168358693</v>
      </c>
      <c r="BK66" s="241">
        <f t="shared" si="73"/>
        <v>4076.3872765746323</v>
      </c>
      <c r="BL66" s="245">
        <f t="shared" si="74"/>
        <v>2644.8779060513316</v>
      </c>
      <c r="BM66" s="241">
        <f t="shared" si="75"/>
        <v>353.80082220411219</v>
      </c>
      <c r="BN66" s="241">
        <f t="shared" si="76"/>
        <v>2098.1550150870371</v>
      </c>
      <c r="BO66" s="241">
        <f t="shared" si="106"/>
        <v>16179.514758761243</v>
      </c>
      <c r="BP66" s="228">
        <v>16212.4062502409</v>
      </c>
    </row>
    <row r="67" spans="1:68" x14ac:dyDescent="0.25">
      <c r="A67" s="1" t="s">
        <v>142</v>
      </c>
      <c r="B67" s="40">
        <f>SUM('Datos Ing. est. noil'!B68:B71)</f>
        <v>6375.6454100000001</v>
      </c>
      <c r="C67" s="40">
        <f>SUM('Datos Ing. est. noil'!C68:C71)</f>
        <v>803.196052750891</v>
      </c>
      <c r="D67" s="40">
        <f>SUM('Datos Ing. est. noil'!D68:D71)</f>
        <v>4160.6971400000002</v>
      </c>
      <c r="E67" s="40">
        <f>SUM('Datos Ing. est. noil'!E68:E71)</f>
        <v>2762.7477114399999</v>
      </c>
      <c r="F67" s="40">
        <f>SUM('Datos Ing. est. noil'!F68:F71)</f>
        <v>357.68315999999993</v>
      </c>
      <c r="G67" s="40">
        <f>SUM('Datos Ing. est. noil'!G67:G70)</f>
        <v>2144.4361367659994</v>
      </c>
      <c r="H67" s="40">
        <f>SUM('Datos Ing. est. noil'!H67:H70)</f>
        <v>16284.281896046892</v>
      </c>
      <c r="J67" s="31" t="s">
        <v>142</v>
      </c>
      <c r="K67" s="25">
        <v>69492.625236395295</v>
      </c>
      <c r="L67" s="25">
        <f>+SUM('Datos Ing. est. noil'!K68:K71)</f>
        <v>70105.361999999994</v>
      </c>
      <c r="M67" s="26">
        <f t="shared" si="77"/>
        <v>0.99125977320244496</v>
      </c>
      <c r="N67" s="25">
        <f>+SUM('Datos Ing. est. noil'!L68:L71)</f>
        <v>101726.33100000001</v>
      </c>
      <c r="O67" s="26">
        <f t="shared" si="107"/>
        <v>9.7140917189948439E-3</v>
      </c>
      <c r="P67" s="86"/>
      <c r="Q67" s="31" t="s">
        <v>142</v>
      </c>
      <c r="R67" s="233">
        <f t="shared" si="79"/>
        <v>6375.6454100000001</v>
      </c>
      <c r="S67" s="234">
        <f t="shared" si="80"/>
        <v>1.9571520716057399E-2</v>
      </c>
      <c r="T67" s="234">
        <f t="shared" si="81"/>
        <v>2.0147556027072948</v>
      </c>
      <c r="U67" s="234">
        <f t="shared" si="82"/>
        <v>6263.8718434817574</v>
      </c>
      <c r="W67" s="1" t="s">
        <v>142</v>
      </c>
      <c r="X67" s="17">
        <f t="shared" si="83"/>
        <v>803.196052750891</v>
      </c>
      <c r="Y67" s="12">
        <f t="shared" si="84"/>
        <v>2.5287763489958318E-2</v>
      </c>
      <c r="Z67" s="12">
        <f t="shared" si="85"/>
        <v>2.6032041102217374</v>
      </c>
      <c r="AA67" s="12">
        <f t="shared" si="86"/>
        <v>785.0490701604358</v>
      </c>
      <c r="AC67" s="1" t="s">
        <v>142</v>
      </c>
      <c r="AD67" s="17">
        <f t="shared" si="87"/>
        <v>4160.6971400000002</v>
      </c>
      <c r="AE67" s="12">
        <f t="shared" si="88"/>
        <v>1.4599592666526728E-2</v>
      </c>
      <c r="AF67" s="12">
        <f t="shared" si="89"/>
        <v>1.5029292587364418</v>
      </c>
      <c r="AG67" s="40">
        <f t="shared" si="90"/>
        <v>4106.1627590151393</v>
      </c>
      <c r="AI67" s="1" t="s">
        <v>142</v>
      </c>
      <c r="AJ67" s="17">
        <f t="shared" si="91"/>
        <v>2762.7477114399999</v>
      </c>
      <c r="AK67" s="12">
        <f t="shared" si="92"/>
        <v>4.3906967733880829E-2</v>
      </c>
      <c r="AL67" s="12">
        <f t="shared" si="93"/>
        <v>4.519925177155323</v>
      </c>
      <c r="AM67" s="12">
        <f t="shared" si="94"/>
        <v>2655.2714918800443</v>
      </c>
      <c r="AN67" s="126">
        <v>2910.1510251571399</v>
      </c>
      <c r="AO67" s="1" t="s">
        <v>142</v>
      </c>
      <c r="AP67" s="17">
        <f t="shared" si="95"/>
        <v>357.68315999999993</v>
      </c>
      <c r="AQ67" s="12">
        <f t="shared" si="96"/>
        <v>5.2149702975482605E-3</v>
      </c>
      <c r="AR67" s="12">
        <f t="shared" si="97"/>
        <v>0.53684589855693421</v>
      </c>
      <c r="AS67" s="12">
        <f t="shared" si="98"/>
        <v>356.00144369699626</v>
      </c>
      <c r="AT67" s="125">
        <v>416.00201358282698</v>
      </c>
      <c r="AU67" s="1" t="s">
        <v>142</v>
      </c>
      <c r="AV67" s="17">
        <f t="shared" si="99"/>
        <v>2144.4361367659994</v>
      </c>
      <c r="AW67" s="12">
        <f t="shared" si="100"/>
        <v>1.1183593676570449E-2</v>
      </c>
      <c r="AX67" s="12">
        <f t="shared" si="101"/>
        <v>1.151275281321686</v>
      </c>
      <c r="AY67" s="12">
        <f t="shared" si="102"/>
        <v>2122.8722479770017</v>
      </c>
      <c r="AZ67" s="223">
        <v>2125.3126794843101</v>
      </c>
      <c r="BA67" s="1" t="s">
        <v>142</v>
      </c>
      <c r="BB67" s="12">
        <f t="shared" si="108"/>
        <v>16284.281896046892</v>
      </c>
      <c r="BC67" s="12">
        <f t="shared" si="103"/>
        <v>1.3362580390155365E-2</v>
      </c>
      <c r="BD67" s="12">
        <f t="shared" si="104"/>
        <v>1.3755872166644567</v>
      </c>
      <c r="BE67" s="12">
        <f t="shared" si="105"/>
        <v>16088.818822724657</v>
      </c>
      <c r="BF67" s="126">
        <v>16499.255526914199</v>
      </c>
      <c r="BH67" s="238" t="s">
        <v>142</v>
      </c>
      <c r="BI67" s="241">
        <f t="shared" si="71"/>
        <v>6263.8718434817574</v>
      </c>
      <c r="BJ67" s="241">
        <f t="shared" si="72"/>
        <v>785.0490701604358</v>
      </c>
      <c r="BK67" s="241">
        <f t="shared" si="73"/>
        <v>4106.1627590151393</v>
      </c>
      <c r="BL67" s="245">
        <f t="shared" si="74"/>
        <v>2655.2714918800443</v>
      </c>
      <c r="BM67" s="241">
        <f t="shared" si="75"/>
        <v>356.00144369699626</v>
      </c>
      <c r="BN67" s="241">
        <f t="shared" si="76"/>
        <v>2122.8722479770017</v>
      </c>
      <c r="BO67" s="241">
        <f t="shared" si="106"/>
        <v>16289.228856211375</v>
      </c>
      <c r="BP67" s="228">
        <v>16523.518719527001</v>
      </c>
    </row>
    <row r="68" spans="1:68" x14ac:dyDescent="0.25">
      <c r="A68" s="1" t="s">
        <v>144</v>
      </c>
      <c r="B68" s="40">
        <f>SUM('Datos Ing. est. noil'!B69:B72)</f>
        <v>6599.7010600000003</v>
      </c>
      <c r="C68" s="40">
        <f>SUM('Datos Ing. est. noil'!C69:C72)</f>
        <v>828.49632791089095</v>
      </c>
      <c r="D68" s="40">
        <f>SUM('Datos Ing. est. noil'!D69:D72)</f>
        <v>4227.4785400000001</v>
      </c>
      <c r="E68" s="40">
        <f>SUM('Datos Ing. est. noil'!E69:E72)</f>
        <v>2906.4283825800003</v>
      </c>
      <c r="F68" s="40">
        <f>SUM('Datos Ing. est. noil'!F69:F72)</f>
        <v>368.5779</v>
      </c>
      <c r="G68" s="40">
        <f>SUM('Datos Ing. est. noil'!G68:G71)</f>
        <v>2155.7652775081579</v>
      </c>
      <c r="H68" s="40">
        <f>SUM('Datos Ing. est. noil'!H68:H71)</f>
        <v>16615.734751699049</v>
      </c>
      <c r="J68" s="31" t="s">
        <v>144</v>
      </c>
      <c r="K68" s="25">
        <v>69765.539239720194</v>
      </c>
      <c r="L68" s="25">
        <f>+SUM('Datos Ing. est. noil'!K69:K72)</f>
        <v>70825.335999999996</v>
      </c>
      <c r="M68" s="26">
        <f t="shared" si="77"/>
        <v>0.98503647394938154</v>
      </c>
      <c r="N68" s="25">
        <f>+SUM('Datos Ing. est. noil'!L69:L72)</f>
        <v>101947.57800000001</v>
      </c>
      <c r="O68" s="182">
        <f>O67</f>
        <v>9.7140917189948439E-3</v>
      </c>
      <c r="P68" s="176"/>
      <c r="Q68" s="31" t="s">
        <v>144</v>
      </c>
      <c r="R68" s="233">
        <f t="shared" si="79"/>
        <v>6599.7010600000003</v>
      </c>
      <c r="S68" s="234">
        <f t="shared" si="80"/>
        <v>3.514242646690733E-2</v>
      </c>
      <c r="T68" s="234">
        <f>S68/O68</f>
        <v>3.6176749698780544</v>
      </c>
      <c r="U68" s="234">
        <f>R68*((M68)^T68)</f>
        <v>6249.3788991614138</v>
      </c>
      <c r="W68" s="1" t="s">
        <v>144</v>
      </c>
      <c r="X68" s="17">
        <f t="shared" si="83"/>
        <v>828.49632791089095</v>
      </c>
      <c r="Y68" s="12">
        <f t="shared" si="84"/>
        <v>3.1499501365013262E-2</v>
      </c>
      <c r="Z68" s="12">
        <f t="shared" si="85"/>
        <v>3.2426604850167755</v>
      </c>
      <c r="AA68" s="12">
        <f t="shared" si="86"/>
        <v>788.96667271511853</v>
      </c>
      <c r="AC68" s="1" t="s">
        <v>144</v>
      </c>
      <c r="AD68" s="17">
        <f t="shared" si="87"/>
        <v>4227.4785400000001</v>
      </c>
      <c r="AE68" s="12">
        <f t="shared" si="88"/>
        <v>1.6050531378018023E-2</v>
      </c>
      <c r="AF68" s="12">
        <f>AE68/O68</f>
        <v>1.6522935795050158</v>
      </c>
      <c r="AG68" s="40">
        <f>AD68*((M68)^AF68)</f>
        <v>4123.4687595532632</v>
      </c>
      <c r="AI68" s="1" t="s">
        <v>144</v>
      </c>
      <c r="AJ68" s="17">
        <f t="shared" si="91"/>
        <v>2906.4283825800003</v>
      </c>
      <c r="AK68" s="12">
        <f t="shared" si="92"/>
        <v>5.2006439294129812E-2</v>
      </c>
      <c r="AL68" s="12">
        <f t="shared" si="93"/>
        <v>5.3537109591457641</v>
      </c>
      <c r="AM68" s="12">
        <f t="shared" si="94"/>
        <v>2681.0517458747363</v>
      </c>
      <c r="AN68" s="126">
        <v>2948.1985880889401</v>
      </c>
      <c r="AO68" s="1" t="s">
        <v>144</v>
      </c>
      <c r="AP68" s="17">
        <f t="shared" si="95"/>
        <v>368.5779</v>
      </c>
      <c r="AQ68" s="12">
        <f t="shared" si="96"/>
        <v>3.0459191872494282E-2</v>
      </c>
      <c r="AR68" s="12">
        <f t="shared" si="97"/>
        <v>3.1355676633086205</v>
      </c>
      <c r="AS68" s="12">
        <f t="shared" si="98"/>
        <v>351.55928463452597</v>
      </c>
      <c r="AT68" s="125">
        <v>472.78228662868003</v>
      </c>
      <c r="AU68" s="1" t="s">
        <v>144</v>
      </c>
      <c r="AV68" s="17">
        <f t="shared" si="99"/>
        <v>2155.7652775081579</v>
      </c>
      <c r="AW68" s="12">
        <f t="shared" si="100"/>
        <v>5.2830394656768693E-3</v>
      </c>
      <c r="AX68" s="12">
        <f>AW68/O68</f>
        <v>0.54385315874117834</v>
      </c>
      <c r="AY68" s="12">
        <f t="shared" si="102"/>
        <v>2138.1614327948819</v>
      </c>
      <c r="AZ68" s="223">
        <v>2203.3874230794099</v>
      </c>
      <c r="BA68" s="1" t="s">
        <v>144</v>
      </c>
      <c r="BB68" s="12">
        <f t="shared" si="108"/>
        <v>16615.734751699049</v>
      </c>
      <c r="BC68" s="12">
        <f t="shared" si="103"/>
        <v>2.0354158554122037E-2</v>
      </c>
      <c r="BD68" s="12">
        <f t="shared" si="104"/>
        <v>2.0953228714447598</v>
      </c>
      <c r="BE68" s="181">
        <f t="shared" si="105"/>
        <v>16099.041871573576</v>
      </c>
      <c r="BF68" s="126">
        <v>16754.815044427101</v>
      </c>
      <c r="BH68" s="238" t="s">
        <v>144</v>
      </c>
      <c r="BI68" s="241">
        <f t="shared" ref="BI68:BI79" si="109">+U68</f>
        <v>6249.3788991614138</v>
      </c>
      <c r="BJ68" s="241">
        <f t="shared" ref="BJ68:BJ79" si="110">+AA68</f>
        <v>788.96667271511853</v>
      </c>
      <c r="BK68" s="241">
        <f t="shared" ref="BK68:BK79" si="111">+AG68</f>
        <v>4123.4687595532632</v>
      </c>
      <c r="BL68" s="245">
        <f t="shared" ref="BL68:BL79" si="112">AM68</f>
        <v>2681.0517458747363</v>
      </c>
      <c r="BM68" s="241">
        <f t="shared" ref="BM68:BM79" si="113">AS68</f>
        <v>351.55928463452597</v>
      </c>
      <c r="BN68" s="241">
        <f t="shared" ref="BN68:BN79" si="114">AY68</f>
        <v>2138.1614327948819</v>
      </c>
      <c r="BO68" s="241">
        <f t="shared" si="106"/>
        <v>16332.586794733939</v>
      </c>
      <c r="BP68" s="228">
        <v>16794.551139204101</v>
      </c>
    </row>
    <row r="69" spans="1:68" x14ac:dyDescent="0.25">
      <c r="A69" s="1" t="s">
        <v>147</v>
      </c>
      <c r="B69" s="40">
        <f>SUM('Datos Ing. est. noil'!B70:B73)</f>
        <v>6602.4724999999999</v>
      </c>
      <c r="C69" s="40">
        <f>SUM('Datos Ing. est. noil'!C70:C73)</f>
        <v>839.08533214089096</v>
      </c>
      <c r="D69" s="40">
        <f>SUM('Datos Ing. est. noil'!D70:D73)</f>
        <v>4374.0212000000001</v>
      </c>
      <c r="E69" s="40">
        <f>SUM('Datos Ing. est. noil'!E70:E73)</f>
        <v>3111.02287204</v>
      </c>
      <c r="F69" s="40">
        <f>SUM('Datos Ing. est. noil'!F70:F73)</f>
        <v>366.88412999999997</v>
      </c>
      <c r="G69" s="40">
        <f>SUM('Datos Ing. est. noil'!G69:G72)</f>
        <v>2415.1912971724355</v>
      </c>
      <c r="H69" s="40">
        <f>SUM('Datos Ing. est. noil'!H69:H72)</f>
        <v>17345.873507663327</v>
      </c>
      <c r="J69" s="31" t="s">
        <v>147</v>
      </c>
      <c r="K69" s="25">
        <v>69941.444397775107</v>
      </c>
      <c r="L69" s="25">
        <f>+SUM('Datos Ing. est. noil'!K70:K73)</f>
        <v>70869.042000000001</v>
      </c>
      <c r="M69" s="26">
        <f t="shared" si="77"/>
        <v>0.98691110284480921</v>
      </c>
      <c r="N69" s="25">
        <f>+SUM('Datos Ing. est. noil'!L70:L73)</f>
        <v>101490.49300000002</v>
      </c>
      <c r="O69" s="182">
        <f t="shared" si="107"/>
        <v>-4.4835297607559443E-3</v>
      </c>
      <c r="P69" s="86"/>
      <c r="Q69" s="31" t="s">
        <v>147</v>
      </c>
      <c r="R69" s="233">
        <f t="shared" si="79"/>
        <v>6602.4724999999999</v>
      </c>
      <c r="S69" s="234">
        <f t="shared" si="80"/>
        <v>4.1993417198801563E-4</v>
      </c>
      <c r="T69" s="234">
        <f t="shared" si="81"/>
        <v>-9.366151099601773E-2</v>
      </c>
      <c r="U69" s="234">
        <f t="shared" si="82"/>
        <v>6610.6251096557489</v>
      </c>
      <c r="W69" s="1" t="s">
        <v>147</v>
      </c>
      <c r="X69" s="17">
        <f t="shared" si="83"/>
        <v>839.08533214089096</v>
      </c>
      <c r="Y69" s="12">
        <f t="shared" si="84"/>
        <v>1.2780991144162202E-2</v>
      </c>
      <c r="Z69" s="12">
        <f t="shared" si="85"/>
        <v>-2.850653798717568</v>
      </c>
      <c r="AA69" s="12">
        <f t="shared" si="86"/>
        <v>871.1992061870759</v>
      </c>
      <c r="AC69" s="1" t="s">
        <v>147</v>
      </c>
      <c r="AD69" s="17">
        <f t="shared" si="87"/>
        <v>4374.0212000000001</v>
      </c>
      <c r="AE69" s="12">
        <f t="shared" si="88"/>
        <v>3.4664317893852645E-2</v>
      </c>
      <c r="AF69" s="12">
        <f t="shared" si="89"/>
        <v>-7.7314793797661947</v>
      </c>
      <c r="AG69" s="40">
        <f>AD69*((M69)^AF69)</f>
        <v>4843.0632303646062</v>
      </c>
      <c r="AI69" s="1" t="s">
        <v>147</v>
      </c>
      <c r="AJ69" s="17">
        <f t="shared" si="91"/>
        <v>3111.02287204</v>
      </c>
      <c r="AK69" s="12">
        <f t="shared" si="92"/>
        <v>7.0393783203556451E-2</v>
      </c>
      <c r="AL69" s="12">
        <f t="shared" si="93"/>
        <v>-15.700527700230483</v>
      </c>
      <c r="AM69" s="12">
        <f t="shared" si="94"/>
        <v>3825.9657356353205</v>
      </c>
      <c r="AN69" s="126">
        <v>2972.75732913007</v>
      </c>
      <c r="AO69" s="1" t="s">
        <v>147</v>
      </c>
      <c r="AP69" s="17">
        <f t="shared" si="95"/>
        <v>366.88412999999997</v>
      </c>
      <c r="AQ69" s="12">
        <f t="shared" si="96"/>
        <v>-4.5954193129865602E-3</v>
      </c>
      <c r="AR69" s="12">
        <f t="shared" si="97"/>
        <v>1.0249556840706129</v>
      </c>
      <c r="AS69" s="12">
        <f t="shared" si="98"/>
        <v>361.96298874878664</v>
      </c>
      <c r="AT69" s="125">
        <v>544.67887398632604</v>
      </c>
      <c r="AU69" s="1" t="s">
        <v>147</v>
      </c>
      <c r="AV69" s="17">
        <f t="shared" si="99"/>
        <v>2415.1912971724355</v>
      </c>
      <c r="AW69" s="12">
        <f t="shared" si="100"/>
        <v>0.12034056878592429</v>
      </c>
      <c r="AX69" s="12">
        <f t="shared" si="101"/>
        <v>-26.840586593013782</v>
      </c>
      <c r="AY69" s="192">
        <f>AZ69</f>
        <v>2272.7327044694598</v>
      </c>
      <c r="AZ69" s="223">
        <v>2272.7327044694598</v>
      </c>
      <c r="BA69" s="1" t="s">
        <v>147</v>
      </c>
      <c r="BB69" s="12">
        <f t="shared" si="108"/>
        <v>17345.873507663327</v>
      </c>
      <c r="BC69" s="12">
        <f t="shared" si="103"/>
        <v>4.3942610235133905E-2</v>
      </c>
      <c r="BD69" s="12">
        <f t="shared" si="104"/>
        <v>-9.8008962982159336</v>
      </c>
      <c r="BE69" s="181">
        <f t="shared" si="105"/>
        <v>19736.791899785898</v>
      </c>
      <c r="BF69" s="126">
        <v>16958.383015723201</v>
      </c>
      <c r="BH69" s="238" t="s">
        <v>147</v>
      </c>
      <c r="BI69" s="241">
        <f t="shared" si="109"/>
        <v>6610.6251096557489</v>
      </c>
      <c r="BJ69" s="241">
        <f t="shared" si="110"/>
        <v>871.1992061870759</v>
      </c>
      <c r="BK69" s="241">
        <f t="shared" si="111"/>
        <v>4843.0632303646062</v>
      </c>
      <c r="BL69" s="245">
        <f t="shared" si="112"/>
        <v>3825.9657356353205</v>
      </c>
      <c r="BM69" s="241">
        <f t="shared" si="113"/>
        <v>361.96298874878664</v>
      </c>
      <c r="BN69" s="241">
        <f t="shared" si="114"/>
        <v>2272.7327044694598</v>
      </c>
      <c r="BO69" s="241">
        <f t="shared" ref="BO69:BO76" si="115">BP69</f>
        <v>17017.388829814299</v>
      </c>
      <c r="BP69" s="228">
        <v>17017.388829814299</v>
      </c>
    </row>
    <row r="70" spans="1:68" x14ac:dyDescent="0.25">
      <c r="A70" s="1" t="s">
        <v>148</v>
      </c>
      <c r="B70" s="40">
        <f>SUM('Datos Ing. est. noil'!B71:B74)</f>
        <v>6561.9547000000002</v>
      </c>
      <c r="C70" s="40">
        <f>SUM('Datos Ing. est. noil'!C71:C74)</f>
        <v>870.13705455000002</v>
      </c>
      <c r="D70" s="40">
        <f>SUM('Datos Ing. est. noil'!D71:D74)</f>
        <v>4824.0102000000006</v>
      </c>
      <c r="E70" s="40">
        <f>SUM('Datos Ing. est. noil'!E71:E74)</f>
        <v>3316.0985861000004</v>
      </c>
      <c r="F70" s="40">
        <f>SUM('Datos Ing. est. noil'!F71:F74)</f>
        <v>363.60523000000001</v>
      </c>
      <c r="G70" s="40">
        <f>SUM('Datos Ing. est. noil'!G71:G74)</f>
        <v>2501.6918990121808</v>
      </c>
      <c r="H70" s="40">
        <f>SUM('Datos Ing. est. noil'!H70:H73)</f>
        <v>17772.563245826939</v>
      </c>
      <c r="J70" s="31" t="s">
        <v>148</v>
      </c>
      <c r="K70" s="25">
        <v>70033.511498888707</v>
      </c>
      <c r="L70" s="25">
        <f>+SUM('Datos Ing. est. noil'!K71:K74)</f>
        <v>70625.244999999995</v>
      </c>
      <c r="M70" s="26">
        <f t="shared" si="77"/>
        <v>0.99162150161586993</v>
      </c>
      <c r="N70" s="25">
        <f>+SUM('Datos Ing. est. noil'!L71:L74)</f>
        <v>100327.317</v>
      </c>
      <c r="O70" s="182">
        <f t="shared" si="107"/>
        <v>-1.1460935557777052E-2</v>
      </c>
      <c r="P70" s="86"/>
      <c r="Q70" s="31" t="s">
        <v>148</v>
      </c>
      <c r="R70" s="233">
        <f t="shared" si="79"/>
        <v>6561.9547000000002</v>
      </c>
      <c r="S70" s="234">
        <f t="shared" ref="S70:S83" si="116">(R70-R69)/R69</f>
        <v>-6.1367616449746103E-3</v>
      </c>
      <c r="T70" s="235">
        <f t="shared" ref="T70:T83" si="117">S70/O70</f>
        <v>0.53545032288488748</v>
      </c>
      <c r="U70" s="234">
        <f>R70*((M70)^T70)</f>
        <v>6532.458475061143</v>
      </c>
      <c r="W70" s="1" t="s">
        <v>148</v>
      </c>
      <c r="X70" s="17">
        <f t="shared" si="83"/>
        <v>870.13705455000002</v>
      </c>
      <c r="Y70" s="12">
        <f t="shared" si="84"/>
        <v>3.7006632364651036E-2</v>
      </c>
      <c r="Z70" s="124">
        <f t="shared" si="85"/>
        <v>-3.2289364317679485</v>
      </c>
      <c r="AA70" s="12">
        <f t="shared" si="86"/>
        <v>894.10064163213053</v>
      </c>
      <c r="AC70" s="1" t="s">
        <v>148</v>
      </c>
      <c r="AD70" s="17">
        <f t="shared" si="87"/>
        <v>4824.0102000000006</v>
      </c>
      <c r="AE70" s="12">
        <f t="shared" si="88"/>
        <v>0.10287764494602826</v>
      </c>
      <c r="AF70" s="124">
        <f t="shared" si="89"/>
        <v>-8.9763740863387476</v>
      </c>
      <c r="AG70" s="40">
        <f t="shared" si="90"/>
        <v>5202.4566562504378</v>
      </c>
      <c r="AI70" s="1" t="s">
        <v>148</v>
      </c>
      <c r="AJ70" s="17">
        <f t="shared" si="91"/>
        <v>3316.0985861000004</v>
      </c>
      <c r="AK70" s="12">
        <f>(AJ70-AJ69)/AJ69</f>
        <v>6.5919063438297856E-2</v>
      </c>
      <c r="AL70" s="124">
        <f>AK70/O70</f>
        <v>-5.7516302317542589</v>
      </c>
      <c r="AM70" s="12">
        <f t="shared" si="94"/>
        <v>3480.5210397740866</v>
      </c>
      <c r="AN70" s="126">
        <v>2978.7336932520798</v>
      </c>
      <c r="AO70" s="1" t="s">
        <v>148</v>
      </c>
      <c r="AP70" s="17">
        <f t="shared" si="95"/>
        <v>363.60523000000001</v>
      </c>
      <c r="AQ70" s="12">
        <f t="shared" si="96"/>
        <v>-8.9371540818622072E-3</v>
      </c>
      <c r="AR70" s="124">
        <f t="shared" si="97"/>
        <v>0.77979271734040234</v>
      </c>
      <c r="AS70" s="12">
        <f t="shared" si="98"/>
        <v>361.22741911783856</v>
      </c>
      <c r="AT70" s="125">
        <v>632.19682165796905</v>
      </c>
      <c r="AU70" s="1" t="s">
        <v>148</v>
      </c>
      <c r="AV70" s="17">
        <f t="shared" si="99"/>
        <v>2501.6918990121808</v>
      </c>
      <c r="AW70" s="12">
        <f t="shared" si="100"/>
        <v>3.5815217594157088E-2</v>
      </c>
      <c r="AX70" s="124">
        <f t="shared" si="101"/>
        <v>-3.1249820238151447</v>
      </c>
      <c r="AY70" s="12">
        <f t="shared" si="102"/>
        <v>2568.3411450104636</v>
      </c>
      <c r="AZ70" s="223">
        <v>2331.4156813073801</v>
      </c>
      <c r="BA70" s="1" t="s">
        <v>148</v>
      </c>
      <c r="BB70" s="12">
        <f t="shared" si="108"/>
        <v>17772.563245826939</v>
      </c>
      <c r="BC70" s="12">
        <f t="shared" si="103"/>
        <v>2.4598919044065637E-2</v>
      </c>
      <c r="BD70" s="124">
        <f t="shared" si="104"/>
        <v>-2.1463273150832385</v>
      </c>
      <c r="BE70" s="181">
        <f t="shared" si="105"/>
        <v>18096.42918329886</v>
      </c>
      <c r="BF70" s="126">
        <v>17100.3162076933</v>
      </c>
      <c r="BH70" s="238" t="s">
        <v>148</v>
      </c>
      <c r="BI70" s="241">
        <f t="shared" si="109"/>
        <v>6532.458475061143</v>
      </c>
      <c r="BJ70" s="241">
        <f t="shared" si="110"/>
        <v>894.10064163213053</v>
      </c>
      <c r="BK70" s="241">
        <f t="shared" si="111"/>
        <v>5202.4566562504378</v>
      </c>
      <c r="BL70" s="245">
        <f t="shared" si="112"/>
        <v>3480.5210397740866</v>
      </c>
      <c r="BM70" s="241">
        <f t="shared" si="113"/>
        <v>361.22741911783856</v>
      </c>
      <c r="BN70" s="241">
        <f t="shared" si="114"/>
        <v>2568.3411450104636</v>
      </c>
      <c r="BO70" s="241">
        <f t="shared" si="115"/>
        <v>17182.1286005074</v>
      </c>
      <c r="BP70" s="228">
        <v>17182.1286005074</v>
      </c>
    </row>
    <row r="71" spans="1:68" x14ac:dyDescent="0.25">
      <c r="A71" s="1" t="s">
        <v>149</v>
      </c>
      <c r="B71" s="40">
        <f>SUM('Datos Ing. est. noil'!B72:B75)</f>
        <v>6352.3371999999999</v>
      </c>
      <c r="C71" s="40">
        <f>SUM('Datos Ing. est. noil'!C72:C75)</f>
        <v>839.64319999999998</v>
      </c>
      <c r="D71" s="40">
        <f>SUM('Datos Ing. est. noil'!D72:D75)</f>
        <v>4734.1586000000007</v>
      </c>
      <c r="E71" s="40">
        <f>SUM('Datos Ing. est. noil'!E72:E75)</f>
        <v>3303.5429029500001</v>
      </c>
      <c r="F71" s="40">
        <f>SUM('Datos Ing. est. noil'!F72:F75)</f>
        <v>358.50169999999997</v>
      </c>
      <c r="G71" s="40">
        <f>SUM('Datos Ing. est. noil'!G72:G75)</f>
        <v>2492.3010532392054</v>
      </c>
      <c r="H71" s="40">
        <f>SUM('Datos Ing. est. noil'!H71:H74)</f>
        <v>18437.497669662182</v>
      </c>
      <c r="J71" s="31" t="s">
        <v>149</v>
      </c>
      <c r="K71" s="25">
        <v>70064.186887412201</v>
      </c>
      <c r="L71" s="25">
        <f>+SUM('Datos Ing. est. noil'!K72:K75)</f>
        <v>70174.676999999996</v>
      </c>
      <c r="M71" s="26">
        <f t="shared" si="77"/>
        <v>0.99842549880795606</v>
      </c>
      <c r="N71" s="25">
        <f>+SUM('Datos Ing. est. noil'!L72:L75)</f>
        <v>99290.381000000008</v>
      </c>
      <c r="O71" s="182">
        <f>(N71/N70)-1</f>
        <v>-1.0335530053095954E-2</v>
      </c>
      <c r="P71" s="86"/>
      <c r="Q71" s="31" t="s">
        <v>149</v>
      </c>
      <c r="R71" s="233">
        <f t="shared" ref="R71:R83" si="118">B71</f>
        <v>6352.3371999999999</v>
      </c>
      <c r="S71" s="234">
        <f t="shared" si="116"/>
        <v>-3.194436864978667E-2</v>
      </c>
      <c r="T71" s="235">
        <f t="shared" si="117"/>
        <v>3.0907334684995571</v>
      </c>
      <c r="U71" s="234">
        <f>R71*((M71)^T71)</f>
        <v>6321.4752691028198</v>
      </c>
      <c r="W71" s="1" t="s">
        <v>149</v>
      </c>
      <c r="X71" s="17">
        <f t="shared" si="83"/>
        <v>839.64319999999998</v>
      </c>
      <c r="Y71" s="12">
        <f t="shared" si="84"/>
        <v>-3.5044886768751893E-2</v>
      </c>
      <c r="Z71" s="124">
        <f t="shared" si="85"/>
        <v>3.3907198362075666</v>
      </c>
      <c r="AA71" s="12">
        <f t="shared" si="86"/>
        <v>835.16903372811396</v>
      </c>
      <c r="AC71" s="1" t="s">
        <v>149</v>
      </c>
      <c r="AD71" s="17">
        <f t="shared" si="87"/>
        <v>4734.1586000000007</v>
      </c>
      <c r="AE71" s="12">
        <f t="shared" si="88"/>
        <v>-1.8625914182353917E-2</v>
      </c>
      <c r="AF71" s="124">
        <f t="shared" si="89"/>
        <v>1.8021247180036617</v>
      </c>
      <c r="AG71" s="40">
        <f t="shared" si="90"/>
        <v>4720.7341568506827</v>
      </c>
      <c r="AI71" s="1" t="s">
        <v>149</v>
      </c>
      <c r="AJ71" s="17">
        <f t="shared" si="91"/>
        <v>3303.5429029500001</v>
      </c>
      <c r="AK71" s="12">
        <f t="shared" si="92"/>
        <v>-3.7862816270389519E-3</v>
      </c>
      <c r="AL71" s="124">
        <f>AK71/O71</f>
        <v>0.36633647307762324</v>
      </c>
      <c r="AM71" s="12">
        <f t="shared" si="94"/>
        <v>3301.6364772432216</v>
      </c>
      <c r="AN71" s="126">
        <v>2962.4167521352201</v>
      </c>
      <c r="AO71" s="1" t="s">
        <v>149</v>
      </c>
      <c r="AP71" s="17">
        <f t="shared" si="95"/>
        <v>358.50169999999997</v>
      </c>
      <c r="AQ71" s="12">
        <f t="shared" si="96"/>
        <v>-1.4035909219457693E-2</v>
      </c>
      <c r="AR71" s="124">
        <f t="shared" si="97"/>
        <v>1.3580250986018187</v>
      </c>
      <c r="AS71" s="12">
        <f t="shared" si="98"/>
        <v>357.73536344399002</v>
      </c>
      <c r="AT71" s="125">
        <v>734.06318690595003</v>
      </c>
      <c r="AU71" s="1" t="s">
        <v>149</v>
      </c>
      <c r="AV71" s="17">
        <f t="shared" si="99"/>
        <v>2492.3010532392054</v>
      </c>
      <c r="AW71" s="12">
        <f t="shared" si="100"/>
        <v>-3.753797890413055E-3</v>
      </c>
      <c r="AX71" s="124">
        <f t="shared" si="101"/>
        <v>0.36319355380217044</v>
      </c>
      <c r="AY71" s="12">
        <f t="shared" si="102"/>
        <v>2490.875119049093</v>
      </c>
      <c r="AZ71" s="223">
        <v>2378.92808420139</v>
      </c>
      <c r="BA71" s="1" t="s">
        <v>149</v>
      </c>
      <c r="BB71" s="12">
        <f t="shared" si="108"/>
        <v>18437.497669662182</v>
      </c>
      <c r="BC71" s="12">
        <f t="shared" si="103"/>
        <v>3.7413535382487373E-2</v>
      </c>
      <c r="BD71" s="124">
        <f t="shared" si="104"/>
        <v>-3.6198951761821201</v>
      </c>
      <c r="BE71" s="181">
        <f t="shared" si="105"/>
        <v>18542.966053486158</v>
      </c>
      <c r="BF71" s="126">
        <v>17174.851557071299</v>
      </c>
      <c r="BH71" s="238" t="s">
        <v>149</v>
      </c>
      <c r="BI71" s="241">
        <f t="shared" si="109"/>
        <v>6321.4752691028198</v>
      </c>
      <c r="BJ71" s="241">
        <f t="shared" si="110"/>
        <v>835.16903372811396</v>
      </c>
      <c r="BK71" s="241">
        <f t="shared" si="111"/>
        <v>4720.7341568506827</v>
      </c>
      <c r="BL71" s="245">
        <f t="shared" si="112"/>
        <v>3301.6364772432216</v>
      </c>
      <c r="BM71" s="241">
        <f t="shared" si="113"/>
        <v>357.73536344399002</v>
      </c>
      <c r="BN71" s="241">
        <f t="shared" si="114"/>
        <v>2490.875119049093</v>
      </c>
      <c r="BO71" s="241">
        <f t="shared" si="115"/>
        <v>17282.157372135302</v>
      </c>
      <c r="BP71" s="228">
        <v>17282.157372135302</v>
      </c>
    </row>
    <row r="72" spans="1:68" x14ac:dyDescent="0.25">
      <c r="A72" s="1" t="s">
        <v>150</v>
      </c>
      <c r="B72" s="40">
        <f>SUM('Datos Ing. est. noil'!B73:B76)</f>
        <v>5946.1853899999996</v>
      </c>
      <c r="C72" s="40">
        <f>SUM('Datos Ing. est. noil'!C73:C76)</f>
        <v>802.77093000000002</v>
      </c>
      <c r="D72" s="40">
        <f>SUM('Datos Ing. est. noil'!D73:D76)</f>
        <v>4642.3155868752001</v>
      </c>
      <c r="E72" s="40">
        <f>SUM('Datos Ing. est. noil'!E73:E76)</f>
        <v>3188.5604455000002</v>
      </c>
      <c r="F72" s="40">
        <f>SUM('Datos Ing. est. noil'!F73:F76)</f>
        <v>446.73876256</v>
      </c>
      <c r="G72" s="40">
        <f>SUM('Datos Ing. est. noil'!G73:G76)</f>
        <v>2389.4915916964328</v>
      </c>
      <c r="H72" s="40">
        <f>SUM('Datos Ing. est. noil'!H72:H75)</f>
        <v>18080.484656189208</v>
      </c>
      <c r="J72" s="31" t="s">
        <v>150</v>
      </c>
      <c r="K72" s="25">
        <v>70061.833792707796</v>
      </c>
      <c r="L72" s="25">
        <f>+SUM('Datos Ing. est. noil'!K73:K76)</f>
        <v>69563.254000000001</v>
      </c>
      <c r="M72" s="26">
        <f t="shared" si="77"/>
        <v>1.0071672868078856</v>
      </c>
      <c r="N72" s="25">
        <f>+SUM('Datos Ing. est. noil'!L73:L76)</f>
        <v>99151.215000000011</v>
      </c>
      <c r="O72" s="182">
        <f>(N72/N71)-1</f>
        <v>-1.4016060629276073E-3</v>
      </c>
      <c r="P72" s="86"/>
      <c r="Q72" s="31" t="s">
        <v>150</v>
      </c>
      <c r="R72" s="233">
        <f t="shared" si="118"/>
        <v>5946.1853899999996</v>
      </c>
      <c r="S72" s="234">
        <f t="shared" si="116"/>
        <v>-6.3937381976510999E-2</v>
      </c>
      <c r="T72" s="235">
        <f t="shared" si="117"/>
        <v>45.61722702808639</v>
      </c>
      <c r="U72" s="234">
        <f>R72*((M72)^T72)</f>
        <v>8236.1709272634216</v>
      </c>
      <c r="W72" s="1" t="s">
        <v>150</v>
      </c>
      <c r="X72" s="17">
        <f t="shared" si="83"/>
        <v>802.77093000000002</v>
      </c>
      <c r="Y72" s="12">
        <f>(X72-X71)/X71</f>
        <v>-4.3914212608403141E-2</v>
      </c>
      <c r="Z72" s="124">
        <f>Y72/O72</f>
        <v>31.331351775603231</v>
      </c>
      <c r="AA72" s="12">
        <f t="shared" si="86"/>
        <v>1004.0822996574558</v>
      </c>
      <c r="AC72" s="1" t="s">
        <v>150</v>
      </c>
      <c r="AD72" s="17">
        <f t="shared" si="87"/>
        <v>4642.3155868752001</v>
      </c>
      <c r="AE72" s="12">
        <f t="shared" si="88"/>
        <v>-1.9400071033699749E-2</v>
      </c>
      <c r="AF72" s="124">
        <f t="shared" si="89"/>
        <v>13.841315007711806</v>
      </c>
      <c r="AG72" s="40">
        <f t="shared" si="90"/>
        <v>5124.6597909472284</v>
      </c>
      <c r="AI72" s="1" t="s">
        <v>150</v>
      </c>
      <c r="AJ72" s="17">
        <f t="shared" si="91"/>
        <v>3188.5604455000002</v>
      </c>
      <c r="AK72" s="12">
        <f t="shared" si="92"/>
        <v>-3.4805801174043402E-2</v>
      </c>
      <c r="AL72" s="124">
        <f>AK72/O72</f>
        <v>24.832798669080184</v>
      </c>
      <c r="AM72" s="12">
        <f t="shared" si="94"/>
        <v>3807.2933703247918</v>
      </c>
      <c r="AN72" s="126">
        <v>2923.4692405272299</v>
      </c>
      <c r="AO72" s="1" t="s">
        <v>150</v>
      </c>
      <c r="AP72" s="17">
        <f t="shared" ref="AP72:AP83" si="119">F72</f>
        <v>446.73876256</v>
      </c>
      <c r="AQ72" s="12">
        <f t="shared" si="96"/>
        <v>0.24612731978676819</v>
      </c>
      <c r="AR72" s="124">
        <f t="shared" si="97"/>
        <v>-175.60377790651768</v>
      </c>
      <c r="AS72" s="181">
        <f t="shared" si="98"/>
        <v>127.46735669952376</v>
      </c>
      <c r="AT72" s="125">
        <v>846.31915877603205</v>
      </c>
      <c r="AU72" s="1" t="s">
        <v>150</v>
      </c>
      <c r="AV72" s="17">
        <f t="shared" si="99"/>
        <v>2389.4915916964328</v>
      </c>
      <c r="AW72" s="12">
        <f t="shared" si="100"/>
        <v>-4.1250819763187417E-2</v>
      </c>
      <c r="AX72" s="124">
        <f t="shared" si="101"/>
        <v>29.431108250933711</v>
      </c>
      <c r="AY72" s="12">
        <f t="shared" si="102"/>
        <v>2948.4201035660835</v>
      </c>
      <c r="AZ72" s="223">
        <v>2416.4643869466599</v>
      </c>
      <c r="BA72" s="1" t="s">
        <v>150</v>
      </c>
      <c r="BB72" s="12">
        <f t="shared" si="108"/>
        <v>18080.484656189208</v>
      </c>
      <c r="BC72" s="12">
        <f t="shared" si="103"/>
        <v>-1.9363420127256115E-2</v>
      </c>
      <c r="BD72" s="124">
        <f>BC72/O72</f>
        <v>13.815165786890743</v>
      </c>
      <c r="BE72" s="181">
        <f t="shared" si="105"/>
        <v>19955.3496488085</v>
      </c>
      <c r="BF72" s="126">
        <v>17189.607838513901</v>
      </c>
      <c r="BH72" s="238" t="s">
        <v>150</v>
      </c>
      <c r="BI72" s="241">
        <f t="shared" si="109"/>
        <v>8236.1709272634216</v>
      </c>
      <c r="BJ72" s="241">
        <f t="shared" si="110"/>
        <v>1004.0822996574558</v>
      </c>
      <c r="BK72" s="241">
        <f t="shared" si="111"/>
        <v>5124.6597909472284</v>
      </c>
      <c r="BL72" s="245">
        <f t="shared" si="112"/>
        <v>3807.2933703247918</v>
      </c>
      <c r="BM72" s="241">
        <f t="shared" si="113"/>
        <v>127.46735669952376</v>
      </c>
      <c r="BN72" s="241">
        <f t="shared" si="114"/>
        <v>2948.4201035660835</v>
      </c>
      <c r="BO72" s="241">
        <f t="shared" si="115"/>
        <v>17316.7767795447</v>
      </c>
      <c r="BP72" s="228">
        <v>17316.7767795447</v>
      </c>
    </row>
    <row r="73" spans="1:68" x14ac:dyDescent="0.25">
      <c r="A73" s="1" t="s">
        <v>151</v>
      </c>
      <c r="B73" s="40">
        <f>SUM('Datos Ing. est. noil'!B74:B77)</f>
        <v>5673.3004499999997</v>
      </c>
      <c r="C73" s="40">
        <f>SUM('Datos Ing. est. noil'!C74:C77)</f>
        <v>778.05062999999996</v>
      </c>
      <c r="D73" s="40">
        <f>SUM('Datos Ing. est. noil'!D74:D77)</f>
        <v>4254.4365868752002</v>
      </c>
      <c r="E73" s="40">
        <f>SUM('Datos Ing. est. noil'!E74:E77)</f>
        <v>2900.4835914200003</v>
      </c>
      <c r="F73" s="40">
        <f>SUM('Datos Ing. est. noil'!F74:F77)</f>
        <v>680.38459625999997</v>
      </c>
      <c r="G73" s="40">
        <f>SUM('Datos Ing. est. noil'!G74:G77)</f>
        <v>2341.6378000183468</v>
      </c>
      <c r="H73" s="40">
        <f>SUM('Datos Ing. est. noil'!H73:H76)</f>
        <v>17416.062706631634</v>
      </c>
      <c r="J73" s="31" t="s">
        <v>151</v>
      </c>
      <c r="K73" s="25">
        <v>70055.920575263503</v>
      </c>
      <c r="L73" s="25">
        <f>+SUM('Datos Ing. est. noil'!K74:K77)</f>
        <v>69353.581999999995</v>
      </c>
      <c r="M73" s="26">
        <f>K73/L73</f>
        <v>1.01012692574788</v>
      </c>
      <c r="N73" s="25">
        <f>+SUM('Datos Ing. est. noil'!L74:L77)</f>
        <v>98991.206000000006</v>
      </c>
      <c r="O73" s="182">
        <f>(N73/N72)-1</f>
        <v>-1.6137875869701723E-3</v>
      </c>
      <c r="P73" s="86"/>
      <c r="Q73" s="31" t="s">
        <v>151</v>
      </c>
      <c r="R73" s="233">
        <f t="shared" si="118"/>
        <v>5673.3004499999997</v>
      </c>
      <c r="S73" s="234">
        <f t="shared" si="116"/>
        <v>-4.589243726892947E-2</v>
      </c>
      <c r="T73" s="235">
        <f t="shared" si="117"/>
        <v>28.437718594112411</v>
      </c>
      <c r="U73" s="234">
        <f>R73*((M73)^T73)</f>
        <v>7555.7530299176005</v>
      </c>
      <c r="W73" s="1" t="s">
        <v>151</v>
      </c>
      <c r="X73" s="17">
        <f t="shared" si="83"/>
        <v>778.05062999999996</v>
      </c>
      <c r="Y73" s="12">
        <f t="shared" ref="Y73:Y79" si="120">(X73-X72)/X72</f>
        <v>-3.0793715960791036E-2</v>
      </c>
      <c r="Z73" s="124">
        <f t="shared" ref="Z73:Z79" si="121">Y73/O73</f>
        <v>19.081641356905664</v>
      </c>
      <c r="AA73" s="12">
        <f t="shared" si="86"/>
        <v>942.99225091936194</v>
      </c>
      <c r="AC73" s="1" t="s">
        <v>151</v>
      </c>
      <c r="AD73" s="17">
        <f t="shared" si="87"/>
        <v>4254.4365868752002</v>
      </c>
      <c r="AE73" s="12">
        <f t="shared" si="88"/>
        <v>-8.3552915078978079E-2</v>
      </c>
      <c r="AF73" s="124">
        <f t="shared" si="89"/>
        <v>51.774419231867839</v>
      </c>
      <c r="AG73" s="40">
        <f t="shared" si="90"/>
        <v>7168.1025054297916</v>
      </c>
      <c r="AI73" s="1" t="s">
        <v>151</v>
      </c>
      <c r="AJ73" s="17">
        <f t="shared" si="91"/>
        <v>2900.4835914200003</v>
      </c>
      <c r="AK73" s="12">
        <f t="shared" si="92"/>
        <v>-9.0346994828516242E-2</v>
      </c>
      <c r="AL73" s="124">
        <f>AK73/O73</f>
        <v>55.98444030551719</v>
      </c>
      <c r="AM73" s="12">
        <f t="shared" si="94"/>
        <v>5098.6523118075829</v>
      </c>
      <c r="AN73" s="126">
        <v>2864.9651256544798</v>
      </c>
      <c r="AO73" s="1" t="s">
        <v>151</v>
      </c>
      <c r="AP73" s="17">
        <f t="shared" si="119"/>
        <v>680.38459625999997</v>
      </c>
      <c r="AQ73" s="12">
        <f t="shared" si="96"/>
        <v>0.52300327010155012</v>
      </c>
      <c r="AR73" s="124">
        <f t="shared" si="97"/>
        <v>-324.08433075351002</v>
      </c>
      <c r="AS73" s="192">
        <f>AT73</f>
        <v>961.25029444491804</v>
      </c>
      <c r="AT73" s="126">
        <v>961.25029444491804</v>
      </c>
      <c r="AU73" s="1" t="s">
        <v>151</v>
      </c>
      <c r="AV73" s="17">
        <f t="shared" si="99"/>
        <v>2341.6378000183468</v>
      </c>
      <c r="AW73" s="12">
        <f t="shared" si="100"/>
        <v>-2.0026767135059048E-2</v>
      </c>
      <c r="AX73" s="124">
        <f t="shared" si="101"/>
        <v>12.409791286509135</v>
      </c>
      <c r="AY73" s="12">
        <f t="shared" si="102"/>
        <v>2653.5319316245309</v>
      </c>
      <c r="AZ73" s="223">
        <v>2446.3527824963298</v>
      </c>
      <c r="BA73" s="1" t="s">
        <v>151</v>
      </c>
      <c r="BB73" s="12">
        <f t="shared" si="108"/>
        <v>17416.062706631634</v>
      </c>
      <c r="BC73" s="12">
        <f t="shared" si="103"/>
        <v>-3.6748016559950636E-2</v>
      </c>
      <c r="BD73" s="124">
        <f>BC73/O73</f>
        <v>22.771284682480243</v>
      </c>
      <c r="BE73" s="181">
        <f t="shared" si="105"/>
        <v>21907.656926688869</v>
      </c>
      <c r="BF73" s="126">
        <v>17161.270311107401</v>
      </c>
      <c r="BH73" s="238" t="s">
        <v>151</v>
      </c>
      <c r="BI73" s="241">
        <f t="shared" si="109"/>
        <v>7555.7530299176005</v>
      </c>
      <c r="BJ73" s="241">
        <f t="shared" si="110"/>
        <v>942.99225091936194</v>
      </c>
      <c r="BK73" s="241">
        <f t="shared" si="111"/>
        <v>7168.1025054297916</v>
      </c>
      <c r="BL73" s="245">
        <f t="shared" si="112"/>
        <v>5098.6523118075829</v>
      </c>
      <c r="BM73" s="241">
        <f t="shared" si="113"/>
        <v>961.25029444491804</v>
      </c>
      <c r="BN73" s="241">
        <f t="shared" si="114"/>
        <v>2653.5319316245309</v>
      </c>
      <c r="BO73" s="241">
        <f t="shared" si="115"/>
        <v>17296.851883861</v>
      </c>
      <c r="BP73" s="228">
        <v>17296.851883861</v>
      </c>
    </row>
    <row r="74" spans="1:68" x14ac:dyDescent="0.25">
      <c r="A74" s="1" t="s">
        <v>152</v>
      </c>
      <c r="B74" s="40">
        <f>SUM('Datos Ing. est. noil'!B75:B78)</f>
        <v>5428.7647699999998</v>
      </c>
      <c r="C74" s="40">
        <f>SUM('Datos Ing. est. noil'!C75:C78)</f>
        <v>749.22259999999994</v>
      </c>
      <c r="D74" s="40">
        <f>SUM('Datos Ing. est. noil'!D75:D78)</f>
        <v>3632.0555233052</v>
      </c>
      <c r="E74" s="40">
        <f>SUM('Datos Ing. est. noil'!E75:E78)</f>
        <v>2632.8259678100003</v>
      </c>
      <c r="F74" s="40">
        <f>SUM('Datos Ing. est. noil'!F75:F78)</f>
        <v>1381.4106393989998</v>
      </c>
      <c r="G74" s="40">
        <f>SUM('Datos Ing. est. noil'!G75:G78)</f>
        <v>2363.4814577920852</v>
      </c>
      <c r="H74" s="40">
        <f>SUM('Datos Ing. est. noil'!H74:H77)</f>
        <v>16628.293654573547</v>
      </c>
      <c r="J74" s="31" t="s">
        <v>152</v>
      </c>
      <c r="K74" s="25">
        <v>70070.930257640503</v>
      </c>
      <c r="L74" s="25">
        <f>+SUM('Datos Ing. est. noil'!K75:K78)</f>
        <v>69172.264999999999</v>
      </c>
      <c r="M74" s="26">
        <f t="shared" si="77"/>
        <v>1.0129916991678747</v>
      </c>
      <c r="N74" s="25">
        <f>+SUM('Datos Ing. est. noil'!L75:L78)</f>
        <v>99122.209000000003</v>
      </c>
      <c r="O74" s="182">
        <v>-5.0000000000000001E-3</v>
      </c>
      <c r="P74" s="86"/>
      <c r="Q74" s="31" t="s">
        <v>152</v>
      </c>
      <c r="R74" s="233">
        <f t="shared" si="118"/>
        <v>5428.7647699999998</v>
      </c>
      <c r="S74" s="234">
        <f t="shared" si="116"/>
        <v>-4.3102896128125907E-2</v>
      </c>
      <c r="T74" s="236">
        <f t="shared" si="117"/>
        <v>8.6205792256251819</v>
      </c>
      <c r="U74" s="236">
        <f t="shared" ref="U74:U79" si="122">R74*((M74)^T74)</f>
        <v>6067.7407036891054</v>
      </c>
      <c r="W74" s="1" t="s">
        <v>152</v>
      </c>
      <c r="X74" s="17">
        <f t="shared" si="83"/>
        <v>749.22259999999994</v>
      </c>
      <c r="Y74" s="12">
        <f t="shared" si="120"/>
        <v>-3.7051611924020955E-2</v>
      </c>
      <c r="Z74" s="149">
        <f t="shared" si="121"/>
        <v>7.410322384804191</v>
      </c>
      <c r="AA74" s="149">
        <f t="shared" si="86"/>
        <v>824.42717030516167</v>
      </c>
      <c r="AC74" s="1" t="s">
        <v>152</v>
      </c>
      <c r="AD74" s="17">
        <f t="shared" si="87"/>
        <v>3632.0555233052</v>
      </c>
      <c r="AE74" s="12">
        <f t="shared" si="88"/>
        <v>-0.14628989076721127</v>
      </c>
      <c r="AF74" s="149">
        <f t="shared" si="89"/>
        <v>29.257978153442252</v>
      </c>
      <c r="AG74" s="150">
        <f t="shared" si="90"/>
        <v>5298.7006744424052</v>
      </c>
      <c r="AI74" s="1" t="s">
        <v>152</v>
      </c>
      <c r="AJ74" s="17">
        <f t="shared" si="91"/>
        <v>2632.8259678100003</v>
      </c>
      <c r="AK74" s="12">
        <f t="shared" si="92"/>
        <v>-9.2280344009449081E-2</v>
      </c>
      <c r="AL74" s="149">
        <f t="shared" ref="AL74:AL79" si="123">AK74/O74</f>
        <v>18.456068801889817</v>
      </c>
      <c r="AM74" s="149">
        <f>AN74</f>
        <v>2792.62928233807</v>
      </c>
      <c r="AN74" s="126">
        <v>2792.62928233807</v>
      </c>
      <c r="AO74" s="1" t="s">
        <v>152</v>
      </c>
      <c r="AP74" s="66">
        <f t="shared" si="119"/>
        <v>1381.4106393989998</v>
      </c>
      <c r="AQ74" s="12">
        <f t="shared" si="96"/>
        <v>1.0303379103413917</v>
      </c>
      <c r="AR74" s="149">
        <f>AQ74/O74</f>
        <v>-206.06758206827834</v>
      </c>
      <c r="AS74" s="192">
        <f>AT74</f>
        <v>1067.14635950154</v>
      </c>
      <c r="AT74" s="126">
        <v>1067.14635950154</v>
      </c>
      <c r="AU74" s="1" t="s">
        <v>152</v>
      </c>
      <c r="AV74" s="17">
        <f t="shared" si="99"/>
        <v>2363.4814577920852</v>
      </c>
      <c r="AW74" s="12">
        <f t="shared" si="100"/>
        <v>9.3283674245296464E-3</v>
      </c>
      <c r="AX74" s="124">
        <f t="shared" si="101"/>
        <v>-1.8656734849059293</v>
      </c>
      <c r="AY74" s="12">
        <f t="shared" si="102"/>
        <v>2307.2435761206293</v>
      </c>
      <c r="AZ74" s="223">
        <v>2470.6517199340801</v>
      </c>
      <c r="BA74" s="1" t="s">
        <v>152</v>
      </c>
      <c r="BB74" s="12">
        <f t="shared" si="108"/>
        <v>16628.293654573547</v>
      </c>
      <c r="BC74" s="12">
        <f t="shared" si="103"/>
        <v>-4.52323274971973E-2</v>
      </c>
      <c r="BD74" s="149">
        <f t="shared" ref="BD74:BD79" si="124">BC74/O74</f>
        <v>9.04646549943946</v>
      </c>
      <c r="BE74" s="181">
        <f t="shared" si="105"/>
        <v>18687.927701501605</v>
      </c>
      <c r="BF74" s="126">
        <v>17108.7941555527</v>
      </c>
      <c r="BH74" s="238" t="s">
        <v>152</v>
      </c>
      <c r="BI74" s="241">
        <f t="shared" si="109"/>
        <v>6067.7407036891054</v>
      </c>
      <c r="BJ74" s="241">
        <f t="shared" si="110"/>
        <v>824.42717030516167</v>
      </c>
      <c r="BK74" s="241">
        <f t="shared" si="111"/>
        <v>5298.7006744424052</v>
      </c>
      <c r="BL74" s="245">
        <f t="shared" si="112"/>
        <v>2792.62928233807</v>
      </c>
      <c r="BM74" s="241">
        <f t="shared" si="113"/>
        <v>1067.14635950154</v>
      </c>
      <c r="BN74" s="241">
        <f t="shared" si="114"/>
        <v>2307.2435761206293</v>
      </c>
      <c r="BO74" s="241">
        <f t="shared" si="115"/>
        <v>17240.8949784141</v>
      </c>
      <c r="BP74" s="228">
        <v>17240.8949784141</v>
      </c>
    </row>
    <row r="75" spans="1:68" x14ac:dyDescent="0.25">
      <c r="A75" s="1" t="s">
        <v>153</v>
      </c>
      <c r="B75" s="40">
        <f>SUM('Datos Ing. est. noil'!B76:B79)</f>
        <v>5399.6802469144604</v>
      </c>
      <c r="C75" s="40">
        <f>SUM('Datos Ing. est. noil'!C76:C79)</f>
        <v>789.61727587239693</v>
      </c>
      <c r="D75" s="40">
        <f>SUM('Datos Ing. est. noil'!D76:D79)</f>
        <v>3639.6663018752001</v>
      </c>
      <c r="E75" s="40">
        <f>SUM('Datos Ing. est. noil'!E76:E79)</f>
        <v>2523.6503682000002</v>
      </c>
      <c r="F75" s="40">
        <f>SUM('Datos Ing. est. noil'!F76:F79)</f>
        <v>1740.9047923145388</v>
      </c>
      <c r="G75" s="40">
        <f>SUM('Datos Ing. est. noil'!G76:G79)</f>
        <v>2624.4578552435423</v>
      </c>
      <c r="H75" s="40">
        <f>SUM('Datos Ing. est. noil'!H75:H78)</f>
        <v>16187.760958306284</v>
      </c>
      <c r="J75" s="31" t="s">
        <v>153</v>
      </c>
      <c r="K75" s="25">
        <v>70124.322656647098</v>
      </c>
      <c r="L75" s="25">
        <f>+SUM('Datos Ing. est. noil'!K76:K79)</f>
        <v>69314.065999999992</v>
      </c>
      <c r="M75" s="26">
        <f t="shared" si="77"/>
        <v>1.0116896425704864</v>
      </c>
      <c r="N75" s="25">
        <f>+SUM('Datos Ing. est. noil'!L76:L79)</f>
        <v>99937.695999999996</v>
      </c>
      <c r="O75" s="182">
        <f t="shared" ref="O75:O88" si="125">(N75/N74)-1</f>
        <v>8.2270866259648301E-3</v>
      </c>
      <c r="P75" s="86"/>
      <c r="Q75" s="31" t="s">
        <v>153</v>
      </c>
      <c r="R75" s="233">
        <f t="shared" si="118"/>
        <v>5399.6802469144604</v>
      </c>
      <c r="S75" s="234">
        <f t="shared" si="116"/>
        <v>-5.3574844956008902E-3</v>
      </c>
      <c r="T75" s="235">
        <f t="shared" si="117"/>
        <v>-0.65120069098246458</v>
      </c>
      <c r="U75" s="234">
        <f t="shared" si="122"/>
        <v>5358.9688818792392</v>
      </c>
      <c r="W75" s="1" t="s">
        <v>153</v>
      </c>
      <c r="X75" s="17">
        <f t="shared" si="83"/>
        <v>789.61727587239693</v>
      </c>
      <c r="Y75" s="12">
        <f t="shared" si="120"/>
        <v>5.3915452994072778E-2</v>
      </c>
      <c r="Z75" s="124">
        <f t="shared" si="121"/>
        <v>6.5534077183428048</v>
      </c>
      <c r="AA75" s="12">
        <f t="shared" si="86"/>
        <v>852.10611388789744</v>
      </c>
      <c r="AC75" s="1" t="s">
        <v>153</v>
      </c>
      <c r="AD75" s="17">
        <f t="shared" si="87"/>
        <v>3639.6663018752001</v>
      </c>
      <c r="AE75" s="12">
        <f t="shared" si="88"/>
        <v>2.0954466475430482E-3</v>
      </c>
      <c r="AF75" s="124">
        <f t="shared" si="89"/>
        <v>0.2547009339770146</v>
      </c>
      <c r="AG75" s="40">
        <f t="shared" si="90"/>
        <v>3650.4560219192831</v>
      </c>
      <c r="AI75" s="1" t="s">
        <v>153</v>
      </c>
      <c r="AJ75" s="17">
        <f t="shared" si="91"/>
        <v>2523.6503682000002</v>
      </c>
      <c r="AK75" s="12">
        <f t="shared" si="92"/>
        <v>-4.1467077940139339E-2</v>
      </c>
      <c r="AL75" s="124">
        <f t="shared" si="123"/>
        <v>-5.0403113307775937</v>
      </c>
      <c r="AM75" s="12">
        <f t="shared" si="94"/>
        <v>2380.0671163731795</v>
      </c>
      <c r="AN75" s="126">
        <v>2712.54173414257</v>
      </c>
      <c r="AO75" s="1" t="s">
        <v>153</v>
      </c>
      <c r="AP75" s="12">
        <f t="shared" si="119"/>
        <v>1740.9047923145388</v>
      </c>
      <c r="AQ75" s="12">
        <f t="shared" si="96"/>
        <v>0.26023699446237175</v>
      </c>
      <c r="AR75" s="12">
        <f t="shared" si="97"/>
        <v>31.631731412801614</v>
      </c>
      <c r="AS75" s="192">
        <f>AT75</f>
        <v>1149.48841659042</v>
      </c>
      <c r="AT75" s="126">
        <v>1149.48841659042</v>
      </c>
      <c r="AU75" s="1" t="s">
        <v>153</v>
      </c>
      <c r="AV75" s="17">
        <f t="shared" si="99"/>
        <v>2624.4578552435423</v>
      </c>
      <c r="AW75" s="12">
        <f t="shared" si="100"/>
        <v>0.11042032785620237</v>
      </c>
      <c r="AX75" s="124">
        <f t="shared" si="101"/>
        <v>13.421558915851678</v>
      </c>
      <c r="AY75" s="224">
        <f>AZ75</f>
        <v>2490.3725205186101</v>
      </c>
      <c r="AZ75" s="223">
        <v>2490.3725205186101</v>
      </c>
      <c r="BA75" s="1" t="s">
        <v>153</v>
      </c>
      <c r="BB75" s="66">
        <f t="shared" si="108"/>
        <v>16187.760958306284</v>
      </c>
      <c r="BC75" s="12">
        <f t="shared" si="103"/>
        <v>-2.6492958653403176E-2</v>
      </c>
      <c r="BD75" s="124">
        <f t="shared" si="124"/>
        <v>-3.2202114621950049</v>
      </c>
      <c r="BE75" s="181">
        <f t="shared" si="105"/>
        <v>15593.133496942155</v>
      </c>
      <c r="BF75" s="126">
        <v>17045.804849439701</v>
      </c>
      <c r="BH75" s="238" t="s">
        <v>153</v>
      </c>
      <c r="BI75" s="241">
        <f t="shared" si="109"/>
        <v>5358.9688818792392</v>
      </c>
      <c r="BJ75" s="241">
        <f t="shared" si="110"/>
        <v>852.10611388789744</v>
      </c>
      <c r="BK75" s="241">
        <f t="shared" si="111"/>
        <v>3650.4560219192831</v>
      </c>
      <c r="BL75" s="245">
        <f t="shared" si="112"/>
        <v>2380.0671163731795</v>
      </c>
      <c r="BM75" s="241">
        <f t="shared" si="113"/>
        <v>1149.48841659042</v>
      </c>
      <c r="BN75" s="241">
        <f t="shared" si="114"/>
        <v>2490.3725205186101</v>
      </c>
      <c r="BO75" s="241">
        <f t="shared" si="115"/>
        <v>17168.615837695299</v>
      </c>
      <c r="BP75" s="228">
        <v>17168.615837695299</v>
      </c>
    </row>
    <row r="76" spans="1:68" x14ac:dyDescent="0.25">
      <c r="A76" s="1" t="s">
        <v>170</v>
      </c>
      <c r="B76" s="40">
        <f>SUM('Datos Ing. est. noil'!B77:B80)</f>
        <v>5529.4538569144606</v>
      </c>
      <c r="C76" s="40">
        <f>SUM('Datos Ing. est. noil'!C77:C80)</f>
        <v>827.99573888963278</v>
      </c>
      <c r="D76" s="40">
        <f>SUM('Datos Ing. est. noil'!D77:D80)</f>
        <v>3610.0606666200001</v>
      </c>
      <c r="E76" s="40">
        <f>SUM('Datos Ing. est. noil'!E77:E80)</f>
        <v>2460.1275890100001</v>
      </c>
      <c r="F76" s="40">
        <f>SUM('Datos Ing. est. noil'!F77:F80)</f>
        <v>1915.2241513225381</v>
      </c>
      <c r="G76" s="40">
        <f>SUM('Datos Ing. est. noil'!G77:G80)</f>
        <v>2497.480272173038</v>
      </c>
      <c r="H76" s="40">
        <f>SUM('Datos Ing. est. noil'!H76:H79)</f>
        <v>16717.976840420139</v>
      </c>
      <c r="J76" s="31" t="s">
        <v>170</v>
      </c>
      <c r="K76" s="25">
        <v>70224.571286515304</v>
      </c>
      <c r="L76" s="25">
        <f>+SUM('Datos Ing. est. noil'!K77:K80)</f>
        <v>69607.374000000011</v>
      </c>
      <c r="M76" s="26">
        <f t="shared" ref="M76:M83" si="126">K76/L76</f>
        <v>1.0088668376789403</v>
      </c>
      <c r="N76" s="25">
        <f>+SUM('Datos Ing. est. noil'!L77:L80)</f>
        <v>101024.38400000001</v>
      </c>
      <c r="O76" s="182">
        <f t="shared" si="125"/>
        <v>1.0873654721837989E-2</v>
      </c>
      <c r="P76" s="86"/>
      <c r="Q76" s="31" t="s">
        <v>170</v>
      </c>
      <c r="R76" s="233">
        <f t="shared" si="118"/>
        <v>5529.4538569144606</v>
      </c>
      <c r="S76" s="234">
        <f t="shared" si="116"/>
        <v>2.4033573112807325E-2</v>
      </c>
      <c r="T76" s="235">
        <f t="shared" si="117"/>
        <v>2.2102571515848997</v>
      </c>
      <c r="U76" s="234">
        <f t="shared" si="122"/>
        <v>5638.4018538230994</v>
      </c>
      <c r="W76" s="1" t="s">
        <v>170</v>
      </c>
      <c r="X76" s="17">
        <f t="shared" si="83"/>
        <v>827.99573888963278</v>
      </c>
      <c r="Y76" s="12">
        <f t="shared" si="120"/>
        <v>4.8603879613492461E-2</v>
      </c>
      <c r="Z76" s="12">
        <f t="shared" si="121"/>
        <v>4.4698752035853575</v>
      </c>
      <c r="AA76" s="12">
        <f t="shared" si="86"/>
        <v>861.32076567327977</v>
      </c>
      <c r="AC76" s="1" t="s">
        <v>170</v>
      </c>
      <c r="AD76" s="17">
        <f t="shared" si="87"/>
        <v>3610.0606666200001</v>
      </c>
      <c r="AE76" s="12">
        <f t="shared" si="88"/>
        <v>-8.1341619807142294E-3</v>
      </c>
      <c r="AF76" s="124">
        <f t="shared" si="89"/>
        <v>-0.7480614557659323</v>
      </c>
      <c r="AG76" s="40">
        <f t="shared" si="90"/>
        <v>3586.2994312872256</v>
      </c>
      <c r="AI76" s="1" t="s">
        <v>170</v>
      </c>
      <c r="AJ76" s="17">
        <f t="shared" si="91"/>
        <v>2460.1275890100001</v>
      </c>
      <c r="AK76" s="12">
        <f t="shared" si="92"/>
        <v>-2.517099039963604E-2</v>
      </c>
      <c r="AL76" s="124">
        <f t="shared" si="123"/>
        <v>-2.3148601867120306</v>
      </c>
      <c r="AM76" s="12">
        <f t="shared" si="94"/>
        <v>2410.3649998608057</v>
      </c>
      <c r="AN76" s="126">
        <v>2629.1845118091701</v>
      </c>
      <c r="AO76" s="1" t="s">
        <v>170</v>
      </c>
      <c r="AP76" s="12">
        <f t="shared" si="119"/>
        <v>1915.2241513225381</v>
      </c>
      <c r="AQ76" s="12">
        <f t="shared" si="96"/>
        <v>0.10013147173674049</v>
      </c>
      <c r="AR76" s="12">
        <f t="shared" si="97"/>
        <v>9.2086307960140132</v>
      </c>
      <c r="AS76" s="192">
        <f>AT76</f>
        <v>1196.90016476101</v>
      </c>
      <c r="AT76" s="126">
        <v>1196.90016476101</v>
      </c>
      <c r="AU76" s="1" t="s">
        <v>170</v>
      </c>
      <c r="AV76" s="17">
        <f t="shared" si="99"/>
        <v>2497.480272173038</v>
      </c>
      <c r="AW76" s="12">
        <f t="shared" si="100"/>
        <v>-4.8382405081037659E-2</v>
      </c>
      <c r="AX76" s="124">
        <f t="shared" si="101"/>
        <v>-4.4495072097396449</v>
      </c>
      <c r="AY76" s="124">
        <f t="shared" si="102"/>
        <v>2401.2829550146216</v>
      </c>
      <c r="AZ76" s="223">
        <v>2505.4547883093101</v>
      </c>
      <c r="BA76" s="1" t="s">
        <v>170</v>
      </c>
      <c r="BB76" s="66">
        <f t="shared" si="108"/>
        <v>16717.976840420139</v>
      </c>
      <c r="BC76" s="12">
        <f t="shared" si="103"/>
        <v>3.2754121059700436E-2</v>
      </c>
      <c r="BD76" s="124">
        <f t="shared" si="124"/>
        <v>3.0122458269636838</v>
      </c>
      <c r="BE76" s="181">
        <f>BB76*((M76)^BD76)</f>
        <v>17168.494267204624</v>
      </c>
      <c r="BF76" s="126">
        <v>16976.7179288027</v>
      </c>
      <c r="BH76" s="238" t="s">
        <v>170</v>
      </c>
      <c r="BI76" s="241">
        <f t="shared" si="109"/>
        <v>5638.4018538230994</v>
      </c>
      <c r="BJ76" s="241">
        <f t="shared" si="110"/>
        <v>861.32076567327977</v>
      </c>
      <c r="BK76" s="241">
        <f t="shared" si="111"/>
        <v>3586.2994312872256</v>
      </c>
      <c r="BL76" s="245">
        <f t="shared" si="112"/>
        <v>2410.3649998608057</v>
      </c>
      <c r="BM76" s="241">
        <f t="shared" si="113"/>
        <v>1196.90016476101</v>
      </c>
      <c r="BN76" s="241">
        <f t="shared" si="114"/>
        <v>2401.2829550146216</v>
      </c>
      <c r="BO76" s="241">
        <f t="shared" si="115"/>
        <v>17093.598286411801</v>
      </c>
      <c r="BP76" s="228">
        <v>17093.598286411801</v>
      </c>
    </row>
    <row r="77" spans="1:68" x14ac:dyDescent="0.25">
      <c r="A77" s="1" t="s">
        <v>172</v>
      </c>
      <c r="B77" s="40">
        <f>SUM('Datos Ing. est. noil'!B78:B81)</f>
        <v>5706.5957969144602</v>
      </c>
      <c r="C77" s="40">
        <f>SUM('Datos Ing. est. noil'!C78:C81)</f>
        <v>878.83067888963274</v>
      </c>
      <c r="D77" s="40">
        <f>SUM('Datos Ing. est. noil'!D78:D81)</f>
        <v>3732.0306701000031</v>
      </c>
      <c r="E77" s="40">
        <f>SUM('Datos Ing. est. noil'!E78:E81)</f>
        <v>2457.0862313400003</v>
      </c>
      <c r="F77" s="40">
        <f>SUM('Datos Ing. est. noil'!F78:F81)</f>
        <v>1927.570997622538</v>
      </c>
      <c r="G77" s="40">
        <f>SUM('Datos Ing. est. noil'!G78:G81)</f>
        <v>2493.3771198717136</v>
      </c>
      <c r="H77" s="40">
        <f>SUM('Datos Ing. est. noil'!H77:H80)</f>
        <v>16840.34227492967</v>
      </c>
      <c r="J77" s="31" t="s">
        <v>172</v>
      </c>
      <c r="K77" s="25">
        <v>70372.047434910695</v>
      </c>
      <c r="L77" s="25">
        <f>+SUM('Datos Ing. est. noil'!K78:K81)</f>
        <v>69965.244999999995</v>
      </c>
      <c r="M77" s="26">
        <f t="shared" si="126"/>
        <v>1.005814350180732</v>
      </c>
      <c r="N77" s="25">
        <f>+SUM('Datos Ing. est. noil'!L78:L81)</f>
        <v>102091.74800000001</v>
      </c>
      <c r="O77" s="26">
        <f t="shared" si="125"/>
        <v>1.0565409634173184E-2</v>
      </c>
      <c r="P77" s="86"/>
      <c r="Q77" s="31" t="s">
        <v>172</v>
      </c>
      <c r="R77" s="233">
        <f t="shared" si="118"/>
        <v>5706.5957969144602</v>
      </c>
      <c r="S77" s="234">
        <f t="shared" si="116"/>
        <v>3.2036064425872264E-2</v>
      </c>
      <c r="T77" s="235">
        <f t="shared" si="117"/>
        <v>3.032164916943072</v>
      </c>
      <c r="U77" s="234">
        <f t="shared" si="122"/>
        <v>5807.7990375367754</v>
      </c>
      <c r="W77" s="1" t="s">
        <v>172</v>
      </c>
      <c r="X77" s="17">
        <f t="shared" si="83"/>
        <v>878.83067888963274</v>
      </c>
      <c r="Y77" s="12">
        <f t="shared" si="120"/>
        <v>6.1395171028502088E-2</v>
      </c>
      <c r="Z77" s="12">
        <f t="shared" si="121"/>
        <v>5.8109598353785632</v>
      </c>
      <c r="AA77" s="12">
        <f t="shared" si="86"/>
        <v>908.94206724529818</v>
      </c>
      <c r="AC77" s="1" t="s">
        <v>172</v>
      </c>
      <c r="AD77" s="17">
        <f t="shared" si="87"/>
        <v>3732.0306701000031</v>
      </c>
      <c r="AE77" s="12">
        <f t="shared" si="88"/>
        <v>3.3786136783734481E-2</v>
      </c>
      <c r="AF77" s="124">
        <f t="shared" si="89"/>
        <v>3.1978066117242863</v>
      </c>
      <c r="AG77" s="40">
        <f t="shared" si="90"/>
        <v>3801.8653336361963</v>
      </c>
      <c r="AI77" s="1" t="s">
        <v>172</v>
      </c>
      <c r="AJ77" s="17">
        <f t="shared" si="91"/>
        <v>2457.0862313400003</v>
      </c>
      <c r="AK77" s="12">
        <f t="shared" si="92"/>
        <v>-1.2362601369076533E-3</v>
      </c>
      <c r="AL77" s="124">
        <f t="shared" si="123"/>
        <v>-0.11701014723641609</v>
      </c>
      <c r="AM77" s="12">
        <f t="shared" si="94"/>
        <v>2455.4199885266908</v>
      </c>
      <c r="AN77" s="126">
        <v>2545.1507287376198</v>
      </c>
      <c r="AO77" s="1" t="s">
        <v>172</v>
      </c>
      <c r="AP77" s="12">
        <f t="shared" si="119"/>
        <v>1927.570997622538</v>
      </c>
      <c r="AQ77" s="12">
        <f t="shared" si="96"/>
        <v>6.4466847347731801E-3</v>
      </c>
      <c r="AR77" s="12">
        <f t="shared" si="97"/>
        <v>0.61016893409620054</v>
      </c>
      <c r="AS77" s="192">
        <f t="shared" ref="AS77:AS83" si="127">AT77</f>
        <v>1203.91941889689</v>
      </c>
      <c r="AT77" s="126">
        <v>1203.91941889689</v>
      </c>
      <c r="AU77" s="1" t="s">
        <v>172</v>
      </c>
      <c r="AV77" s="17">
        <f t="shared" si="99"/>
        <v>2493.3771198717136</v>
      </c>
      <c r="AW77" s="12">
        <f t="shared" si="100"/>
        <v>-1.6429168018029031E-3</v>
      </c>
      <c r="AX77" s="124">
        <f t="shared" si="101"/>
        <v>-0.15549958389582805</v>
      </c>
      <c r="AY77" s="124">
        <f t="shared" si="102"/>
        <v>2491.1303265838333</v>
      </c>
      <c r="AZ77" s="223">
        <v>2517.1790021603501</v>
      </c>
      <c r="BA77" s="1" t="s">
        <v>172</v>
      </c>
      <c r="BB77" s="66">
        <f t="shared" si="108"/>
        <v>16840.34227492967</v>
      </c>
      <c r="BC77" s="12">
        <f t="shared" si="103"/>
        <v>7.3193925124768189E-3</v>
      </c>
      <c r="BD77" s="124">
        <f t="shared" si="124"/>
        <v>0.6927694018415228</v>
      </c>
      <c r="BE77" s="181">
        <f t="shared" si="105"/>
        <v>16908.114805641966</v>
      </c>
      <c r="BF77" s="126">
        <v>16902.670881181901</v>
      </c>
      <c r="BH77" s="238" t="s">
        <v>172</v>
      </c>
      <c r="BI77" s="241">
        <f t="shared" si="109"/>
        <v>5807.7990375367754</v>
      </c>
      <c r="BJ77" s="241">
        <f t="shared" si="110"/>
        <v>908.94206724529818</v>
      </c>
      <c r="BK77" s="241">
        <f t="shared" si="111"/>
        <v>3801.8653336361963</v>
      </c>
      <c r="BL77" s="245">
        <f t="shared" si="112"/>
        <v>2455.4199885266908</v>
      </c>
      <c r="BM77" s="241">
        <f t="shared" si="113"/>
        <v>1203.91941889689</v>
      </c>
      <c r="BN77" s="241">
        <f t="shared" si="114"/>
        <v>2491.1303265838333</v>
      </c>
      <c r="BO77" s="241">
        <f t="shared" ref="BO77:BO83" si="128">+SUM(BI77:BN77)</f>
        <v>16669.076172425684</v>
      </c>
      <c r="BP77" s="228">
        <v>17019.617990893999</v>
      </c>
    </row>
    <row r="78" spans="1:68" x14ac:dyDescent="0.25">
      <c r="A78" s="1" t="s">
        <v>174</v>
      </c>
      <c r="B78" s="40">
        <f>SUM('Datos Ing. est. noil'!B79:B82)</f>
        <v>5874.6916601256435</v>
      </c>
      <c r="C78" s="40">
        <f>SUM('Datos Ing. est. noil'!C79:C82)</f>
        <v>910.60162888963282</v>
      </c>
      <c r="D78" s="40">
        <f>SUM('Datos Ing. est. noil'!D79:D82)</f>
        <v>3749.7743736700031</v>
      </c>
      <c r="E78" s="40">
        <f>SUM('Datos Ing. est. noil'!E79:E82)</f>
        <v>2434.3524305300002</v>
      </c>
      <c r="F78" s="40">
        <f>SUM('Datos Ing. est. noil'!F79:F82)</f>
        <v>1282.1320044835384</v>
      </c>
      <c r="G78" s="40">
        <f>SUM('Datos Ing. est. noil'!G79:G82)</f>
        <v>2549.92643293214</v>
      </c>
      <c r="H78" s="40">
        <f>SUM('Datos Ing. est. noil'!H78:H81)</f>
        <v>17195.491494738351</v>
      </c>
      <c r="J78" s="31" t="s">
        <v>174</v>
      </c>
      <c r="K78" s="25">
        <v>70560.950676633802</v>
      </c>
      <c r="L78" s="25">
        <f>+SUM('Datos Ing. est. noil'!K79:K82)</f>
        <v>70473.741999999998</v>
      </c>
      <c r="M78" s="26">
        <f t="shared" si="126"/>
        <v>1.0012374634035157</v>
      </c>
      <c r="N78" s="25">
        <f>+SUM('Datos Ing. est. noil'!L79:L82)</f>
        <v>103141.91399999999</v>
      </c>
      <c r="O78" s="26">
        <f t="shared" si="125"/>
        <v>1.0286492498884359E-2</v>
      </c>
      <c r="P78" s="86"/>
      <c r="Q78" s="31" t="s">
        <v>174</v>
      </c>
      <c r="R78" s="233">
        <f t="shared" si="118"/>
        <v>5874.6916601256435</v>
      </c>
      <c r="S78" s="234">
        <f t="shared" si="116"/>
        <v>2.9456416608667511E-2</v>
      </c>
      <c r="T78" s="235">
        <f t="shared" si="117"/>
        <v>2.863601622405525</v>
      </c>
      <c r="U78" s="234">
        <f t="shared" si="122"/>
        <v>5895.5332431293109</v>
      </c>
      <c r="W78" s="1" t="s">
        <v>174</v>
      </c>
      <c r="X78" s="17">
        <f t="shared" si="83"/>
        <v>910.60162888963282</v>
      </c>
      <c r="Y78" s="12">
        <f t="shared" si="120"/>
        <v>3.6151389298495366E-2</v>
      </c>
      <c r="Z78" s="12">
        <f t="shared" si="121"/>
        <v>3.5144525019015211</v>
      </c>
      <c r="AA78" s="12">
        <f t="shared" si="86"/>
        <v>914.56800619483977</v>
      </c>
      <c r="AC78" s="1" t="s">
        <v>174</v>
      </c>
      <c r="AD78" s="17">
        <f t="shared" si="87"/>
        <v>3749.7743736700031</v>
      </c>
      <c r="AE78" s="12">
        <f t="shared" si="88"/>
        <v>4.7544366963963138E-3</v>
      </c>
      <c r="AF78" s="124">
        <f t="shared" si="89"/>
        <v>0.46220193101895185</v>
      </c>
      <c r="AG78" s="40">
        <f t="shared" si="90"/>
        <v>3751.9183738193824</v>
      </c>
      <c r="AI78" s="1" t="s">
        <v>174</v>
      </c>
      <c r="AJ78" s="17">
        <f t="shared" si="91"/>
        <v>2434.3524305300002</v>
      </c>
      <c r="AK78" s="12">
        <f t="shared" si="92"/>
        <v>-9.2523414603979566E-3</v>
      </c>
      <c r="AL78" s="124">
        <f t="shared" si="123"/>
        <v>-0.89946514435328051</v>
      </c>
      <c r="AM78" s="12">
        <f t="shared" si="94"/>
        <v>2431.6460425430482</v>
      </c>
      <c r="AN78" s="126">
        <v>2461.3429532095802</v>
      </c>
      <c r="AO78" s="1" t="s">
        <v>174</v>
      </c>
      <c r="AP78" s="12">
        <f t="shared" si="119"/>
        <v>1282.1320044835384</v>
      </c>
      <c r="AQ78" s="12">
        <f t="shared" si="96"/>
        <v>-0.33484576907158425</v>
      </c>
      <c r="AR78" s="12">
        <f t="shared" si="97"/>
        <v>-32.551986900092579</v>
      </c>
      <c r="AS78" s="192">
        <f t="shared" si="127"/>
        <v>1172.2671922340401</v>
      </c>
      <c r="AT78" s="126">
        <v>1172.2671922340401</v>
      </c>
      <c r="AU78" s="1" t="s">
        <v>174</v>
      </c>
      <c r="AV78" s="17">
        <f t="shared" si="99"/>
        <v>2549.92643293214</v>
      </c>
      <c r="AW78" s="12">
        <f t="shared" si="100"/>
        <v>2.267980748268672E-2</v>
      </c>
      <c r="AX78" s="124">
        <f t="shared" si="101"/>
        <v>2.2048144676279597</v>
      </c>
      <c r="AY78" s="124">
        <f t="shared" si="102"/>
        <v>2556.8887808141612</v>
      </c>
      <c r="AZ78" s="223">
        <v>2526.7458930428502</v>
      </c>
      <c r="BA78" s="1" t="s">
        <v>174</v>
      </c>
      <c r="BB78" s="66">
        <f t="shared" si="108"/>
        <v>17195.491494738351</v>
      </c>
      <c r="BC78" s="12">
        <f t="shared" si="103"/>
        <v>2.1089192488527697E-2</v>
      </c>
      <c r="BD78" s="124">
        <f t="shared" si="124"/>
        <v>2.0501830425497287</v>
      </c>
      <c r="BE78" s="181">
        <f t="shared" si="105"/>
        <v>17239.145259672037</v>
      </c>
      <c r="BF78" s="126">
        <v>16823.438014829098</v>
      </c>
      <c r="BH78" s="238" t="s">
        <v>174</v>
      </c>
      <c r="BI78" s="241">
        <f t="shared" si="109"/>
        <v>5895.5332431293109</v>
      </c>
      <c r="BJ78" s="241">
        <f t="shared" si="110"/>
        <v>914.56800619483977</v>
      </c>
      <c r="BK78" s="241">
        <f t="shared" si="111"/>
        <v>3751.9183738193824</v>
      </c>
      <c r="BL78" s="245">
        <f t="shared" si="112"/>
        <v>2431.6460425430482</v>
      </c>
      <c r="BM78" s="241">
        <f t="shared" si="113"/>
        <v>1172.2671922340401</v>
      </c>
      <c r="BN78" s="241">
        <f t="shared" si="114"/>
        <v>2556.8887808141612</v>
      </c>
      <c r="BO78" s="241">
        <f t="shared" si="128"/>
        <v>16722.821638734782</v>
      </c>
      <c r="BP78" s="228">
        <v>16946.6946346078</v>
      </c>
    </row>
    <row r="79" spans="1:68" x14ac:dyDescent="0.25">
      <c r="A79" s="1" t="s">
        <v>190</v>
      </c>
      <c r="B79" s="40">
        <f>SUM('Datos Ing. est. noil'!B80:B83)</f>
        <v>5978.333962287641</v>
      </c>
      <c r="C79" s="40">
        <f>SUM('Datos Ing. est. noil'!C80:C83)</f>
        <v>936.75020331723567</v>
      </c>
      <c r="D79" s="40">
        <f>SUM('Datos Ing. est. noil'!D80:D83)</f>
        <v>3763.922995270003</v>
      </c>
      <c r="E79" s="40">
        <f>SUM('Datos Ing. est. noil'!E80:E83)</f>
        <v>2402.5756544800001</v>
      </c>
      <c r="F79" s="40">
        <f>SUM('Datos Ing. est. noil'!F80:F83)</f>
        <v>996.12606156799939</v>
      </c>
      <c r="G79" s="40">
        <f>SUM('Datos Ing. est. noil'!G80:G83)</f>
        <v>2415.6630424218201</v>
      </c>
      <c r="H79" s="40">
        <f>SUM('Datos Ing. est. noil'!H80:H83)</f>
        <v>16493.371919344703</v>
      </c>
      <c r="J79" s="31" t="s">
        <v>190</v>
      </c>
      <c r="K79" s="25">
        <v>70781.412112135804</v>
      </c>
      <c r="L79" s="25">
        <f>+SUM('Datos Ing. est. noil'!K80:K83)</f>
        <v>70955.691000000006</v>
      </c>
      <c r="M79" s="26">
        <f t="shared" si="126"/>
        <v>0.99754383495660404</v>
      </c>
      <c r="N79" s="25">
        <f>+SUM('Datos Ing. est. noil'!L80:L83)</f>
        <v>104295.86199999999</v>
      </c>
      <c r="O79" s="26">
        <f t="shared" si="125"/>
        <v>1.1187963799081713E-2</v>
      </c>
      <c r="P79" s="86"/>
      <c r="Q79" s="31" t="s">
        <v>190</v>
      </c>
      <c r="R79" s="233">
        <f t="shared" si="118"/>
        <v>5978.333962287641</v>
      </c>
      <c r="S79" s="234">
        <f t="shared" si="116"/>
        <v>1.7642168841893048E-2</v>
      </c>
      <c r="T79" s="235">
        <f t="shared" si="117"/>
        <v>1.5768882665978132</v>
      </c>
      <c r="U79" s="234">
        <f t="shared" si="122"/>
        <v>5955.1956999397971</v>
      </c>
      <c r="W79" s="1" t="s">
        <v>190</v>
      </c>
      <c r="X79" s="17">
        <f t="shared" si="83"/>
        <v>936.75020331723567</v>
      </c>
      <c r="Y79" s="12">
        <f t="shared" si="120"/>
        <v>2.8715712335687163E-2</v>
      </c>
      <c r="Z79" s="12">
        <f t="shared" si="121"/>
        <v>2.5666611772594488</v>
      </c>
      <c r="AA79" s="12">
        <f t="shared" si="86"/>
        <v>930.85615231562406</v>
      </c>
      <c r="AC79" s="1" t="s">
        <v>190</v>
      </c>
      <c r="AD79" s="17">
        <f t="shared" si="87"/>
        <v>3763.922995270003</v>
      </c>
      <c r="AE79" s="12">
        <f t="shared" si="88"/>
        <v>3.7731927817705505E-3</v>
      </c>
      <c r="AF79" s="124">
        <f t="shared" si="89"/>
        <v>0.33725464700558355</v>
      </c>
      <c r="AG79" s="40">
        <f t="shared" si="90"/>
        <v>3760.802596981106</v>
      </c>
      <c r="AI79" s="1" t="s">
        <v>190</v>
      </c>
      <c r="AJ79" s="17">
        <f t="shared" si="91"/>
        <v>2402.5756544800001</v>
      </c>
      <c r="AK79" s="12">
        <f t="shared" si="92"/>
        <v>-1.305348217106006E-2</v>
      </c>
      <c r="AL79" s="124">
        <f t="shared" si="123"/>
        <v>-1.1667433328780941</v>
      </c>
      <c r="AM79" s="12">
        <f t="shared" si="94"/>
        <v>2409.479118067105</v>
      </c>
      <c r="AN79" s="126">
        <v>2377.7831462193499</v>
      </c>
      <c r="AO79" s="1" t="s">
        <v>190</v>
      </c>
      <c r="AP79" s="12">
        <f t="shared" si="119"/>
        <v>996.12606156799939</v>
      </c>
      <c r="AQ79" s="12">
        <f>(AP79-AP78)/AP78</f>
        <v>-0.22307059016964981</v>
      </c>
      <c r="AR79" s="12">
        <f t="shared" si="97"/>
        <v>-19.938444043585395</v>
      </c>
      <c r="AS79" s="192">
        <f t="shared" si="127"/>
        <v>1110.9010038194399</v>
      </c>
      <c r="AT79" s="126">
        <v>1110.9010038194399</v>
      </c>
      <c r="AU79" s="1" t="s">
        <v>190</v>
      </c>
      <c r="AV79" s="17">
        <f t="shared" si="99"/>
        <v>2415.6630424218201</v>
      </c>
      <c r="AW79" s="12">
        <f t="shared" si="100"/>
        <v>-5.2653829058092246E-2</v>
      </c>
      <c r="AX79" s="124">
        <f t="shared" si="101"/>
        <v>-4.7062924052734223</v>
      </c>
      <c r="AY79" s="124">
        <f t="shared" si="102"/>
        <v>2443.7834955154271</v>
      </c>
      <c r="AZ79" s="223">
        <v>2535.1182019062699</v>
      </c>
      <c r="BA79" s="1" t="s">
        <v>190</v>
      </c>
      <c r="BB79" s="12">
        <f t="shared" si="108"/>
        <v>16493.371919344703</v>
      </c>
      <c r="BC79" s="12">
        <f t="shared" si="103"/>
        <v>-4.0831608425295096E-2</v>
      </c>
      <c r="BD79" s="124">
        <f t="shared" si="124"/>
        <v>-3.6496014072414571</v>
      </c>
      <c r="BE79" s="181">
        <f t="shared" si="105"/>
        <v>16642.067032197439</v>
      </c>
      <c r="BF79" s="126">
        <v>16741.721929184401</v>
      </c>
      <c r="BH79" s="238" t="s">
        <v>190</v>
      </c>
      <c r="BI79" s="241">
        <f t="shared" si="109"/>
        <v>5955.1956999397971</v>
      </c>
      <c r="BJ79" s="241">
        <f t="shared" si="110"/>
        <v>930.85615231562406</v>
      </c>
      <c r="BK79" s="241">
        <f t="shared" si="111"/>
        <v>3760.802596981106</v>
      </c>
      <c r="BL79" s="245">
        <f t="shared" si="112"/>
        <v>2409.479118067105</v>
      </c>
      <c r="BM79" s="241">
        <f t="shared" si="113"/>
        <v>1110.9010038194399</v>
      </c>
      <c r="BN79" s="241">
        <f t="shared" si="114"/>
        <v>2443.7834955154271</v>
      </c>
      <c r="BO79" s="241">
        <f t="shared" si="128"/>
        <v>16611.018066638499</v>
      </c>
      <c r="BP79" s="228">
        <v>16873.055721110599</v>
      </c>
    </row>
    <row r="80" spans="1:68" x14ac:dyDescent="0.25">
      <c r="B80" s="40">
        <f>SUM('Datos Ing. est. noil'!B81:B84)</f>
        <v>6047.4531270114257</v>
      </c>
      <c r="C80" s="40">
        <f>SUM('Datos Ing. est. noil'!C81:C84)</f>
        <v>974.11522079999986</v>
      </c>
      <c r="D80" s="40">
        <f>SUM('Datos Ing. est. noil'!D81:D84)</f>
        <v>3863.1645276500039</v>
      </c>
      <c r="E80" s="40">
        <f>SUM('Datos Ing. est. noil'!E81:E84)</f>
        <v>2425.9757533400002</v>
      </c>
      <c r="F80" s="40">
        <f>SUM('Datos Ing. est. noil'!F81:F84)</f>
        <v>794.46246603854354</v>
      </c>
      <c r="G80" s="40">
        <f>SUM('Datos Ing. est. noil'!G81:G84)</f>
        <v>2422.9999013608199</v>
      </c>
      <c r="H80" s="40">
        <f>SUM('Datos Ing. est. noil'!H81:H84)</f>
        <v>16528.170996200795</v>
      </c>
      <c r="K80" s="25">
        <v>71022.690335101695</v>
      </c>
      <c r="L80" s="25">
        <f>+SUM('Datos Ing. est. noil'!K81:K84)</f>
        <v>71274.682000000001</v>
      </c>
      <c r="M80" s="182">
        <f t="shared" si="126"/>
        <v>0.99646449962557104</v>
      </c>
      <c r="N80" s="25">
        <f>+SUM('Datos Ing. est. noil'!L81:L84)</f>
        <v>105189.34899999999</v>
      </c>
      <c r="O80" s="182">
        <f t="shared" si="125"/>
        <v>8.5668499484667926E-3</v>
      </c>
      <c r="R80" s="233">
        <f t="shared" si="118"/>
        <v>6047.4531270114257</v>
      </c>
      <c r="S80" s="234">
        <f t="shared" si="116"/>
        <v>1.1561609833073944E-2</v>
      </c>
      <c r="T80" s="235">
        <f t="shared" si="117"/>
        <v>1.3495753868250164</v>
      </c>
      <c r="U80" s="234">
        <f>R80*((M80)^T80)</f>
        <v>6018.6160072546645</v>
      </c>
      <c r="X80" s="17">
        <f>C80</f>
        <v>974.11522079999986</v>
      </c>
      <c r="Y80" s="181">
        <f>(X80-X79)/X79</f>
        <v>3.9887920333987179E-2</v>
      </c>
      <c r="Z80" s="181">
        <f>Y80/O80</f>
        <v>4.6560778552128035</v>
      </c>
      <c r="AA80" s="181">
        <f>X80*((M80)^Z80)</f>
        <v>958.18307354673937</v>
      </c>
      <c r="AD80" s="17">
        <f>D80</f>
        <v>3863.1645276500039</v>
      </c>
      <c r="AE80" s="181">
        <f>(AD80-AD79)/AD79</f>
        <v>2.6366515070769123E-2</v>
      </c>
      <c r="AF80" s="124">
        <f>AE80/O80</f>
        <v>3.0777374681913194</v>
      </c>
      <c r="AG80" s="40">
        <f>AD80*((M80)^AF80)</f>
        <v>3821.2823136665943</v>
      </c>
      <c r="AJ80" s="17">
        <f>E80</f>
        <v>2425.9757533400002</v>
      </c>
      <c r="AK80" s="181">
        <f>(AJ80-AJ79)/AJ79</f>
        <v>9.7395887685645666E-3</v>
      </c>
      <c r="AL80" s="124">
        <f>AK80/O80</f>
        <v>1.1368926533267527</v>
      </c>
      <c r="AM80" s="181">
        <f>AJ80*((M80)^AL80)</f>
        <v>2416.2269437508403</v>
      </c>
      <c r="AP80" s="181">
        <f t="shared" si="119"/>
        <v>794.46246603854354</v>
      </c>
      <c r="AQ80" s="181">
        <f>(AP80-AP79)/AP79</f>
        <v>-0.20244786609841101</v>
      </c>
      <c r="AR80" s="181">
        <f>AQ80/O80</f>
        <v>-23.631541035061908</v>
      </c>
      <c r="AS80" s="192">
        <f t="shared" si="127"/>
        <v>1029.87700077775</v>
      </c>
      <c r="AT80" s="126">
        <v>1029.87700077775</v>
      </c>
      <c r="AV80" s="17">
        <f>G80</f>
        <v>2422.9999013608199</v>
      </c>
      <c r="AW80" s="181">
        <f>(AV80-AV79)/AV79</f>
        <v>3.0372029584242763E-3</v>
      </c>
      <c r="AX80" s="124">
        <f>AW80/O80</f>
        <v>0.35452972524257226</v>
      </c>
      <c r="AY80" s="124">
        <f>AV80*((M80)^AX80)</f>
        <v>2419.9593442803275</v>
      </c>
      <c r="BB80" s="181">
        <f t="shared" si="108"/>
        <v>16528.170996200795</v>
      </c>
      <c r="BC80" s="181">
        <f>(BB80/BB79)-1</f>
        <v>2.1098825046974579E-3</v>
      </c>
      <c r="BD80" s="124">
        <f>BC80/O80</f>
        <v>0.24628451734176376</v>
      </c>
      <c r="BE80" s="181">
        <f t="shared" si="105"/>
        <v>16513.76005808037</v>
      </c>
      <c r="BH80" s="238" t="s">
        <v>252</v>
      </c>
      <c r="BI80" s="241">
        <f>+U80</f>
        <v>6018.6160072546645</v>
      </c>
      <c r="BJ80" s="241">
        <f>+AA80</f>
        <v>958.18307354673937</v>
      </c>
      <c r="BK80" s="241">
        <f>+AG80</f>
        <v>3821.2823136665943</v>
      </c>
      <c r="BL80" s="245">
        <f>AM80</f>
        <v>2416.2269437508403</v>
      </c>
      <c r="BM80" s="241">
        <f>AS80</f>
        <v>1029.87700077775</v>
      </c>
      <c r="BN80" s="241">
        <f>AY80</f>
        <v>2419.9593442803275</v>
      </c>
      <c r="BO80" s="241">
        <f t="shared" si="128"/>
        <v>16664.144683276914</v>
      </c>
    </row>
    <row r="81" spans="2:67" x14ac:dyDescent="0.25">
      <c r="B81" s="40">
        <f>SUM('Datos Ing. est. noil'!B82:B85)</f>
        <v>6111.1692957942705</v>
      </c>
      <c r="C81" s="40">
        <f>SUM('Datos Ing. est. noil'!C82:C85)</f>
        <v>990.17956972000002</v>
      </c>
      <c r="D81" s="40">
        <f>SUM('Datos Ing. est. noil'!D82:D85)</f>
        <v>3989.9464913300008</v>
      </c>
      <c r="E81" s="40">
        <f>SUM('Datos Ing. est. noil'!E82:E85)</f>
        <v>2495.6968794600002</v>
      </c>
      <c r="F81" s="40">
        <f>SUM('Datos Ing. est. noil'!F82:F85)</f>
        <v>611.32096497926909</v>
      </c>
      <c r="G81" s="40">
        <f>SUM('Datos Ing. est. noil'!G82:G85)</f>
        <v>2586.7892222406199</v>
      </c>
      <c r="H81" s="40">
        <f>SUM('Datos Ing. est. noil'!H82:H85)</f>
        <v>16785.10242352416</v>
      </c>
      <c r="K81" s="25">
        <v>71275.786818095105</v>
      </c>
      <c r="L81" s="25">
        <f>+SUM('Datos Ing. est. noil'!K82:K85)</f>
        <v>71528.396999999997</v>
      </c>
      <c r="M81" s="182">
        <f t="shared" si="126"/>
        <v>0.99646839307883706</v>
      </c>
      <c r="N81" s="25">
        <f>+SUM('Datos Ing. est. noil'!L82:L85)</f>
        <v>105963.338</v>
      </c>
      <c r="O81" s="182">
        <f t="shared" si="125"/>
        <v>7.3580548540139734E-3</v>
      </c>
      <c r="R81" s="233">
        <f t="shared" si="118"/>
        <v>6111.1692957942705</v>
      </c>
      <c r="S81" s="234">
        <f t="shared" si="116"/>
        <v>1.0536033507767341E-2</v>
      </c>
      <c r="T81" s="235">
        <f t="shared" si="117"/>
        <v>1.43190472438782</v>
      </c>
      <c r="U81" s="234">
        <f>R81*((M81)^T81)</f>
        <v>6080.2891580148007</v>
      </c>
      <c r="X81" s="17">
        <f>C81</f>
        <v>990.17956972000002</v>
      </c>
      <c r="Y81" s="181">
        <f>(X81-X80)/X80</f>
        <v>1.6491220521949325E-2</v>
      </c>
      <c r="Z81" s="181">
        <f>Y81/O81</f>
        <v>2.2412472928158476</v>
      </c>
      <c r="AA81" s="181">
        <f>X81*((M81)^Z81)</f>
        <v>982.35926926556294</v>
      </c>
      <c r="AD81" s="17">
        <f>D81</f>
        <v>3989.9464913300008</v>
      </c>
      <c r="AE81" s="181">
        <f>(AD81-AD80)/AD80</f>
        <v>3.2818163133507376E-2</v>
      </c>
      <c r="AF81" s="124">
        <f>AE81/O81</f>
        <v>4.4601683168486277</v>
      </c>
      <c r="AG81" s="40">
        <f>AD81*((M81)^AF81)</f>
        <v>3927.4814930801995</v>
      </c>
      <c r="AJ81" s="17">
        <f>E81</f>
        <v>2495.6968794600002</v>
      </c>
      <c r="AK81" s="181">
        <f>(AJ81-AJ80)/AJ80</f>
        <v>2.8739415892351912E-2</v>
      </c>
      <c r="AL81" s="124">
        <f>AK81/O81</f>
        <v>3.905844202381008</v>
      </c>
      <c r="AM81" s="181">
        <f>AJ81*((M81)^AL81)</f>
        <v>2461.4477161959949</v>
      </c>
      <c r="AP81" s="181">
        <f t="shared" si="119"/>
        <v>611.32096497926909</v>
      </c>
      <c r="AQ81" s="181">
        <f>(AP81-AP80)/AP80</f>
        <v>-0.23052253427714392</v>
      </c>
      <c r="AR81" s="181">
        <f>AQ81/O81</f>
        <v>-31.32927639855648</v>
      </c>
      <c r="AS81" s="192">
        <f t="shared" si="127"/>
        <v>938.10362019544004</v>
      </c>
      <c r="AT81" s="126">
        <v>938.10362019544004</v>
      </c>
      <c r="AV81" s="17">
        <f>G81</f>
        <v>2586.7892222406199</v>
      </c>
      <c r="AW81" s="181">
        <f>(AV81-AV80)/AV80</f>
        <v>6.7597741455875285E-2</v>
      </c>
      <c r="AX81" s="124">
        <f>AW81/O81</f>
        <v>9.1869037126026996</v>
      </c>
      <c r="AY81" s="124">
        <f>AV81*((M81)^AX81)</f>
        <v>2504.0651355252035</v>
      </c>
      <c r="BB81" s="181">
        <f t="shared" si="108"/>
        <v>16785.10242352416</v>
      </c>
      <c r="BC81" s="181">
        <f>(BB81/BB80)-1</f>
        <v>1.5545061058626741E-2</v>
      </c>
      <c r="BD81" s="124">
        <f>BC81/O81</f>
        <v>2.1126590338133431</v>
      </c>
      <c r="BE81" s="181">
        <f t="shared" si="105"/>
        <v>16660.113431514164</v>
      </c>
      <c r="BH81" s="238" t="s">
        <v>250</v>
      </c>
      <c r="BI81" s="241">
        <f>+U81</f>
        <v>6080.2891580148007</v>
      </c>
      <c r="BJ81" s="241">
        <f>+AA81</f>
        <v>982.35926926556294</v>
      </c>
      <c r="BK81" s="241">
        <f>+AG81</f>
        <v>3927.4814930801995</v>
      </c>
      <c r="BL81" s="245">
        <f>AM81</f>
        <v>2461.4477161959949</v>
      </c>
      <c r="BM81" s="241">
        <f>AS81</f>
        <v>938.10362019544004</v>
      </c>
      <c r="BN81" s="241">
        <f>AY81</f>
        <v>2504.0651355252035</v>
      </c>
      <c r="BO81" s="241">
        <f t="shared" si="128"/>
        <v>16893.7463922772</v>
      </c>
    </row>
    <row r="82" spans="2:67" x14ac:dyDescent="0.25">
      <c r="B82" s="40">
        <f>SUM('Datos Ing. est. noil'!B83:B86)</f>
        <v>6237.5153034399709</v>
      </c>
      <c r="C82" s="40">
        <f>SUM('Datos Ing. est. noil'!C83:C86)</f>
        <v>993.5212762259805</v>
      </c>
      <c r="D82" s="40">
        <f>SUM('Datos Ing. est. noil'!D83:D86)</f>
        <v>4065.9787176900022</v>
      </c>
      <c r="E82" s="40">
        <f>SUM('Datos Ing. est. noil'!E83:E86)</f>
        <v>2565.8555161600002</v>
      </c>
      <c r="F82" s="40">
        <f>SUM('Datos Ing. est. noil'!F83:F86)</f>
        <v>604.36395361111795</v>
      </c>
      <c r="G82" s="40">
        <f>SUM('Datos Ing. est. noil'!G83:G86)</f>
        <v>2682.6137199603199</v>
      </c>
      <c r="H82" s="40">
        <f>SUM('Datos Ing. est. noil'!H83:H86)</f>
        <v>17149.848487087391</v>
      </c>
      <c r="K82" s="25">
        <v>71534.223130328595</v>
      </c>
      <c r="L82" s="25">
        <f>+SUM('Datos Ing. est. noil'!K83:K86)</f>
        <v>71790.716</v>
      </c>
      <c r="M82" s="182">
        <f t="shared" si="126"/>
        <v>0.99642721393569322</v>
      </c>
      <c r="N82" s="25">
        <f>+SUM('Datos Ing. est. noil'!L83:L86)</f>
        <v>107269.917</v>
      </c>
      <c r="O82" s="182">
        <f t="shared" si="125"/>
        <v>1.2330481699245777E-2</v>
      </c>
      <c r="R82" s="233">
        <f t="shared" si="118"/>
        <v>6237.5153034399709</v>
      </c>
      <c r="S82" s="234">
        <f t="shared" si="116"/>
        <v>2.0674604405518958E-2</v>
      </c>
      <c r="T82" s="235">
        <f t="shared" si="117"/>
        <v>1.6767069535315533</v>
      </c>
      <c r="U82" s="234">
        <f>R82*((M82)^T82)</f>
        <v>6200.1945607326716</v>
      </c>
      <c r="X82" s="17">
        <f>C82</f>
        <v>993.5212762259805</v>
      </c>
      <c r="Y82" s="181">
        <f>(X82-X81)/X81</f>
        <v>3.374848975045446E-3</v>
      </c>
      <c r="Z82" s="181">
        <f>Y82/O82</f>
        <v>0.2736996864649559</v>
      </c>
      <c r="AA82" s="181">
        <f>X82*((M82)^Z82)</f>
        <v>992.54847802912695</v>
      </c>
      <c r="AD82" s="17">
        <f>D82</f>
        <v>4065.9787176900022</v>
      </c>
      <c r="AE82" s="181">
        <f>(AD82-AD81)/AD81</f>
        <v>1.9055951383111665E-2</v>
      </c>
      <c r="AF82" s="124">
        <f>AE82/O82</f>
        <v>1.545434464598189</v>
      </c>
      <c r="AG82" s="40">
        <f>AD82*((M82)^AF82)</f>
        <v>4043.5502754504582</v>
      </c>
      <c r="AJ82" s="17">
        <f>E82</f>
        <v>2565.8555161600002</v>
      </c>
      <c r="AK82" s="181">
        <f>(AJ82-AJ81)/AJ81</f>
        <v>2.8111842138128722E-2</v>
      </c>
      <c r="AL82" s="124">
        <f>AK82/O82</f>
        <v>2.279865687635565</v>
      </c>
      <c r="AM82" s="181">
        <f>AJ82*((M82)^AL82)</f>
        <v>2545.0031798556556</v>
      </c>
      <c r="AP82" s="181">
        <f t="shared" si="119"/>
        <v>604.36395361111795</v>
      </c>
      <c r="AQ82" s="181">
        <f>(AP82-AP81)/AP81</f>
        <v>-1.1380292459603552E-2</v>
      </c>
      <c r="AR82" s="181">
        <f>AQ82/O82</f>
        <v>-0.92293981185663287</v>
      </c>
      <c r="AS82" s="192">
        <f t="shared" si="127"/>
        <v>842.13512915117803</v>
      </c>
      <c r="AT82" s="126">
        <v>842.13512915117803</v>
      </c>
      <c r="AV82" s="17">
        <f>G82</f>
        <v>2682.6137199603199</v>
      </c>
      <c r="AW82" s="181">
        <f>(AV82-AV81)/AV81</f>
        <v>3.7043798116917687E-2</v>
      </c>
      <c r="AX82" s="124">
        <f>AW82/O82</f>
        <v>3.004245821084472</v>
      </c>
      <c r="AY82" s="124">
        <f>AV82*((M82)^AX82)</f>
        <v>2653.9227811190212</v>
      </c>
      <c r="BB82" s="181">
        <f t="shared" si="108"/>
        <v>17149.848487087391</v>
      </c>
      <c r="BC82" s="181">
        <f>(BB82/BB81)-1</f>
        <v>2.1730344823636116E-2</v>
      </c>
      <c r="BD82" s="124">
        <f>BC82/O82</f>
        <v>1.7623273245655362</v>
      </c>
      <c r="BE82" s="181">
        <f t="shared" si="105"/>
        <v>17042.012957856543</v>
      </c>
      <c r="BH82" s="238" t="s">
        <v>251</v>
      </c>
      <c r="BI82" s="241">
        <f>+U82</f>
        <v>6200.1945607326716</v>
      </c>
      <c r="BJ82" s="241">
        <f>+AA82</f>
        <v>992.54847802912695</v>
      </c>
      <c r="BK82" s="241">
        <f>+AG82</f>
        <v>4043.5502754504582</v>
      </c>
      <c r="BL82" s="245">
        <f>AM82</f>
        <v>2545.0031798556556</v>
      </c>
      <c r="BM82" s="241">
        <f>AS82</f>
        <v>842.13512915117803</v>
      </c>
      <c r="BN82" s="241">
        <f>AY82</f>
        <v>2653.9227811190212</v>
      </c>
      <c r="BO82" s="241">
        <f t="shared" si="128"/>
        <v>17277.354404338112</v>
      </c>
    </row>
    <row r="83" spans="2:67" x14ac:dyDescent="0.25">
      <c r="B83" s="40">
        <f>SUM('Datos Ing. est. noil'!B84:B87)</f>
        <v>6383.9395783435175</v>
      </c>
      <c r="C83" s="40">
        <f>SUM('Datos Ing. est. noil'!C84:C87)</f>
        <v>978.21422045598024</v>
      </c>
      <c r="D83" s="40">
        <f>SUM('Datos Ing. est. noil'!D84:D87)</f>
        <v>4802.727469180003</v>
      </c>
      <c r="E83" s="40">
        <f>SUM('Datos Ing. est. noil'!E84:E87)</f>
        <v>2602.4365158400001</v>
      </c>
      <c r="F83" s="40">
        <f>SUM('Datos Ing. est. noil'!F84:F87)</f>
        <v>654.38577521311777</v>
      </c>
      <c r="G83" s="40">
        <f>SUM('Datos Ing. est. noil'!G84:G87)</f>
        <v>2702.8546078633135</v>
      </c>
      <c r="H83" s="40">
        <f>SUM('Datos Ing. est. noil'!H84:H87)</f>
        <v>18124.558166895935</v>
      </c>
      <c r="K83" s="25">
        <v>71794.046972833705</v>
      </c>
      <c r="L83" s="25">
        <f>+SUM('Datos Ing. est. noil'!K84:K87)</f>
        <v>71932.841</v>
      </c>
      <c r="M83" s="182">
        <f t="shared" si="126"/>
        <v>0.99807050541537357</v>
      </c>
      <c r="N83" s="25">
        <f>+SUM('Datos Ing. est. noil'!L84:L87)</f>
        <v>108398.058</v>
      </c>
      <c r="O83" s="182">
        <f t="shared" si="125"/>
        <v>1.0516844158646954E-2</v>
      </c>
      <c r="R83" s="233">
        <f t="shared" si="118"/>
        <v>6383.9395783435175</v>
      </c>
      <c r="S83" s="234">
        <f t="shared" si="116"/>
        <v>2.3474776057510277E-2</v>
      </c>
      <c r="T83" s="235">
        <f t="shared" si="117"/>
        <v>2.2321121910140036</v>
      </c>
      <c r="U83" s="234">
        <f>R83*((M83)^T83)</f>
        <v>6356.4775958678383</v>
      </c>
      <c r="X83" s="17">
        <f>C83</f>
        <v>978.21422045598024</v>
      </c>
      <c r="Y83" s="181">
        <f>(X83-X82)/X82</f>
        <v>-1.5406872642069729E-2</v>
      </c>
      <c r="Z83" s="181">
        <f>Y83/O83</f>
        <v>-1.4649710892028567</v>
      </c>
      <c r="AA83" s="181">
        <f>X83*((M83)^Z83)</f>
        <v>980.98588361715827</v>
      </c>
      <c r="AD83" s="17">
        <f>D83</f>
        <v>4802.727469180003</v>
      </c>
      <c r="AE83" s="181">
        <f>(AD83-AD82)/AD82</f>
        <v>0.18119837870390249</v>
      </c>
      <c r="AF83" s="124">
        <f>AE83/O83</f>
        <v>17.229349030043494</v>
      </c>
      <c r="AG83" s="40">
        <f>AD83*((M83)^AF83)</f>
        <v>4645.541443717324</v>
      </c>
      <c r="AJ83" s="17">
        <f>E83</f>
        <v>2602.4365158400001</v>
      </c>
      <c r="AK83" s="181">
        <f>(AJ83-AJ82)/AJ82</f>
        <v>1.4256843165801537E-2</v>
      </c>
      <c r="AL83" s="124">
        <f>AK83/O83</f>
        <v>1.3556198942131852</v>
      </c>
      <c r="AM83" s="181">
        <f>AJ83*((M83)^AL83)</f>
        <v>2595.6317598722994</v>
      </c>
      <c r="AP83" s="181">
        <f t="shared" si="119"/>
        <v>654.38577521311777</v>
      </c>
      <c r="AQ83" s="181">
        <f>(AP83-AP82)/AP82</f>
        <v>8.2767711911201594E-2</v>
      </c>
      <c r="AR83" s="181">
        <f>AQ83/O83</f>
        <v>7.8700141090471467</v>
      </c>
      <c r="AS83" s="192">
        <f t="shared" si="127"/>
        <v>745.25795852169904</v>
      </c>
      <c r="AT83" s="126">
        <v>745.25795852169904</v>
      </c>
      <c r="AV83" s="17">
        <f>G83</f>
        <v>2702.8546078633135</v>
      </c>
      <c r="AW83" s="181">
        <f>(AV83-AV82)/AV82</f>
        <v>7.5452115048800089E-3</v>
      </c>
      <c r="AX83" s="124">
        <f>AW83/O83</f>
        <v>0.71744064959604181</v>
      </c>
      <c r="AY83" s="124">
        <f>AV83*((M83)^AX83)</f>
        <v>2699.1120312614021</v>
      </c>
      <c r="BB83" s="181">
        <f t="shared" si="108"/>
        <v>18124.558166895935</v>
      </c>
      <c r="BC83" s="181">
        <f>(BB83/BB82)-1</f>
        <v>5.683488577420559E-2</v>
      </c>
      <c r="BD83" s="124">
        <f>BC83/O83</f>
        <v>5.4041768535170238</v>
      </c>
      <c r="BE83" s="181">
        <f>BB83*((M83)^BD83)</f>
        <v>17936.368668305207</v>
      </c>
      <c r="BH83" s="238" t="s">
        <v>253</v>
      </c>
      <c r="BI83" s="241">
        <f>+U83</f>
        <v>6356.4775958678383</v>
      </c>
      <c r="BJ83" s="241">
        <f>+AA83</f>
        <v>980.98588361715827</v>
      </c>
      <c r="BK83" s="241">
        <f>+AG83</f>
        <v>4645.541443717324</v>
      </c>
      <c r="BL83" s="245">
        <f>AM83</f>
        <v>2595.6317598722994</v>
      </c>
      <c r="BM83" s="241">
        <f>AS83</f>
        <v>745.25795852169904</v>
      </c>
      <c r="BN83" s="241">
        <f>AY83</f>
        <v>2699.1120312614021</v>
      </c>
      <c r="BO83" s="241">
        <f t="shared" si="128"/>
        <v>18023.006672857722</v>
      </c>
    </row>
    <row r="84" spans="2:67" x14ac:dyDescent="0.25">
      <c r="K84" s="218" t="s">
        <v>178</v>
      </c>
      <c r="L84" s="148"/>
      <c r="M84" s="147">
        <v>0.99646449962557104</v>
      </c>
      <c r="N84" s="380">
        <v>106289</v>
      </c>
      <c r="O84" s="182">
        <f t="shared" si="125"/>
        <v>-1.9456603180105003E-2</v>
      </c>
      <c r="P84" s="147"/>
      <c r="Q84" s="147"/>
      <c r="R84" s="218"/>
      <c r="S84" s="218"/>
      <c r="BB84" s="379">
        <f>14091+3500</f>
        <v>17591</v>
      </c>
      <c r="BC84" s="181">
        <f t="shared" ref="BC84:BC88" si="129">(BB84/BB83)-1</f>
        <v>-2.9438409586748815E-2</v>
      </c>
      <c r="BD84" s="124">
        <f t="shared" ref="BD84:BD88" si="130">BC84/O84</f>
        <v>1.5130292432982613</v>
      </c>
      <c r="BE84" s="382">
        <f>BB84*((M84)^BD84)</f>
        <v>17496.98558067617</v>
      </c>
      <c r="BO84" s="381">
        <v>17496.98558067617</v>
      </c>
    </row>
    <row r="85" spans="2:67" x14ac:dyDescent="0.25">
      <c r="M85">
        <v>0.99646839307883706</v>
      </c>
      <c r="N85" s="381">
        <v>107730</v>
      </c>
      <c r="O85" s="182">
        <f t="shared" si="125"/>
        <v>1.3557376586476488E-2</v>
      </c>
      <c r="BB85" s="379">
        <f>15741+3000</f>
        <v>18741</v>
      </c>
      <c r="BC85" s="181">
        <f t="shared" si="129"/>
        <v>6.537433915070201E-2</v>
      </c>
      <c r="BD85" s="124">
        <f t="shared" si="130"/>
        <v>4.8220493643226705</v>
      </c>
      <c r="BE85" s="382">
        <f t="shared" ref="BE85:BE88" si="131">BB85*((M85)^BD85)</f>
        <v>18423.995391575598</v>
      </c>
      <c r="BO85" s="381">
        <v>18423.995391575598</v>
      </c>
    </row>
    <row r="86" spans="2:67" x14ac:dyDescent="0.25">
      <c r="K86" s="219" t="s">
        <v>129</v>
      </c>
      <c r="M86">
        <v>0.99642721393569322</v>
      </c>
      <c r="N86" s="381">
        <v>110571</v>
      </c>
      <c r="O86" s="182">
        <f t="shared" si="125"/>
        <v>2.6371484266221046E-2</v>
      </c>
      <c r="BB86" s="379">
        <f>16502+2800</f>
        <v>19302</v>
      </c>
      <c r="BC86" s="181">
        <f t="shared" si="129"/>
        <v>2.9934368496878472E-2</v>
      </c>
      <c r="BD86" s="124">
        <f t="shared" si="130"/>
        <v>1.1351036670780448</v>
      </c>
      <c r="BE86" s="382">
        <f t="shared" si="131"/>
        <v>19223.739987537258</v>
      </c>
      <c r="BO86" s="381">
        <v>19223.739987537258</v>
      </c>
    </row>
    <row r="87" spans="2:67" x14ac:dyDescent="0.25">
      <c r="M87">
        <v>0.99807050541537357</v>
      </c>
      <c r="N87" s="381">
        <v>114783</v>
      </c>
      <c r="O87" s="182">
        <f>(N87/N86)-1</f>
        <v>3.8093170903763296E-2</v>
      </c>
      <c r="BB87" s="283">
        <f>16981+3200</f>
        <v>20181</v>
      </c>
      <c r="BC87" s="181">
        <f t="shared" si="129"/>
        <v>4.5539322350015565E-2</v>
      </c>
      <c r="BD87" s="124">
        <f t="shared" si="130"/>
        <v>1.1954720825174638</v>
      </c>
      <c r="BE87" s="382">
        <f t="shared" si="131"/>
        <v>20134.458140034389</v>
      </c>
      <c r="BO87" s="381">
        <v>20134.458140034389</v>
      </c>
    </row>
    <row r="88" spans="2:67" x14ac:dyDescent="0.25">
      <c r="M88" s="147">
        <v>0.99805186257043499</v>
      </c>
      <c r="N88" s="381">
        <v>118502</v>
      </c>
      <c r="O88" s="182">
        <f t="shared" si="125"/>
        <v>3.2400268332418491E-2</v>
      </c>
      <c r="BB88" s="283">
        <f>17601+3005</f>
        <v>20606</v>
      </c>
      <c r="BC88" s="181">
        <f t="shared" si="129"/>
        <v>2.105941231851749E-2</v>
      </c>
      <c r="BD88" s="124">
        <f t="shared" si="130"/>
        <v>0.6499764786653397</v>
      </c>
      <c r="BE88" s="382">
        <f t="shared" si="131"/>
        <v>20579.898882437719</v>
      </c>
      <c r="BO88" s="381">
        <v>20579.898882437719</v>
      </c>
    </row>
    <row r="89" spans="2:67" x14ac:dyDescent="0.25">
      <c r="N89" s="27">
        <v>105869</v>
      </c>
    </row>
    <row r="90" spans="2:67" x14ac:dyDescent="0.25">
      <c r="N90" s="27">
        <v>106523</v>
      </c>
    </row>
    <row r="91" spans="2:67" x14ac:dyDescent="0.25">
      <c r="N91" s="27">
        <v>107730</v>
      </c>
    </row>
    <row r="92" spans="2:67" x14ac:dyDescent="0.25">
      <c r="N92" s="27">
        <v>110571</v>
      </c>
    </row>
    <row r="93" spans="2:67" x14ac:dyDescent="0.25">
      <c r="N93" s="27">
        <v>114783</v>
      </c>
    </row>
  </sheetData>
  <mergeCells count="10">
    <mergeCell ref="A1:H1"/>
    <mergeCell ref="J1:O1"/>
    <mergeCell ref="Q1:U1"/>
    <mergeCell ref="W1:AA1"/>
    <mergeCell ref="AC1:AG1"/>
    <mergeCell ref="BH1:BO1"/>
    <mergeCell ref="AI1:AM1"/>
    <mergeCell ref="AO1:AS1"/>
    <mergeCell ref="AU1:AY1"/>
    <mergeCell ref="BA1:BE1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2066" r:id="rId4">
          <objectPr defaultSize="0" autoPict="0" r:id="rId5">
            <anchor moveWithCells="1">
              <from>
                <xdr:col>18</xdr:col>
                <xdr:colOff>114300</xdr:colOff>
                <xdr:row>1</xdr:row>
                <xdr:rowOff>161925</xdr:rowOff>
              </from>
              <to>
                <xdr:col>18</xdr:col>
                <xdr:colOff>561975</xdr:colOff>
                <xdr:row>1</xdr:row>
                <xdr:rowOff>514350</xdr:rowOff>
              </to>
            </anchor>
          </objectPr>
        </oleObject>
      </mc:Choice>
      <mc:Fallback>
        <oleObject progId="Equation.3" shapeId="2066" r:id="rId4"/>
      </mc:Fallback>
    </mc:AlternateContent>
    <mc:AlternateContent xmlns:mc="http://schemas.openxmlformats.org/markup-compatibility/2006">
      <mc:Choice Requires="x14">
        <oleObject progId="Equation.3" shapeId="2067" r:id="rId6">
          <objectPr defaultSize="0" autoPict="0" r:id="rId7">
            <anchor moveWithCells="1">
              <from>
                <xdr:col>19</xdr:col>
                <xdr:colOff>47625</xdr:colOff>
                <xdr:row>1</xdr:row>
                <xdr:rowOff>142875</xdr:rowOff>
              </from>
              <to>
                <xdr:col>19</xdr:col>
                <xdr:colOff>581025</xdr:colOff>
                <xdr:row>1</xdr:row>
                <xdr:rowOff>514350</xdr:rowOff>
              </to>
            </anchor>
          </objectPr>
        </oleObject>
      </mc:Choice>
      <mc:Fallback>
        <oleObject progId="Equation.3" shapeId="2067" r:id="rId6"/>
      </mc:Fallback>
    </mc:AlternateContent>
    <mc:AlternateContent xmlns:mc="http://schemas.openxmlformats.org/markup-compatibility/2006">
      <mc:Choice Requires="x14">
        <oleObject progId="Equation.3" shapeId="2068" r:id="rId8">
          <objectPr defaultSize="0" autoPict="0" r:id="rId9">
            <anchor moveWithCells="1">
              <from>
                <xdr:col>20</xdr:col>
                <xdr:colOff>57150</xdr:colOff>
                <xdr:row>1</xdr:row>
                <xdr:rowOff>76200</xdr:rowOff>
              </from>
              <to>
                <xdr:col>20</xdr:col>
                <xdr:colOff>1133475</xdr:colOff>
                <xdr:row>2</xdr:row>
                <xdr:rowOff>66675</xdr:rowOff>
              </to>
            </anchor>
          </objectPr>
        </oleObject>
      </mc:Choice>
      <mc:Fallback>
        <oleObject progId="Equation.3" shapeId="2068" r:id="rId8"/>
      </mc:Fallback>
    </mc:AlternateContent>
    <mc:AlternateContent xmlns:mc="http://schemas.openxmlformats.org/markup-compatibility/2006">
      <mc:Choice Requires="x14">
        <oleObject progId="Equation.3" shapeId="2071" r:id="rId10">
          <objectPr defaultSize="0" autoPict="0" r:id="rId5">
            <anchor moveWithCells="1">
              <from>
                <xdr:col>24</xdr:col>
                <xdr:colOff>152400</xdr:colOff>
                <xdr:row>1</xdr:row>
                <xdr:rowOff>257175</xdr:rowOff>
              </from>
              <to>
                <xdr:col>25</xdr:col>
                <xdr:colOff>0</xdr:colOff>
                <xdr:row>1</xdr:row>
                <xdr:rowOff>266700</xdr:rowOff>
              </to>
            </anchor>
          </objectPr>
        </oleObject>
      </mc:Choice>
      <mc:Fallback>
        <oleObject progId="Equation.3" shapeId="2071" r:id="rId10"/>
      </mc:Fallback>
    </mc:AlternateContent>
    <mc:AlternateContent xmlns:mc="http://schemas.openxmlformats.org/markup-compatibility/2006">
      <mc:Choice Requires="x14">
        <oleObject progId="Equation.3" shapeId="2072" r:id="rId11">
          <objectPr defaultSize="0" autoPict="0" r:id="rId12">
            <anchor moveWithCells="1">
              <from>
                <xdr:col>25</xdr:col>
                <xdr:colOff>142875</xdr:colOff>
                <xdr:row>1</xdr:row>
                <xdr:rowOff>342900</xdr:rowOff>
              </from>
              <to>
                <xdr:col>26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72" r:id="rId11"/>
      </mc:Fallback>
    </mc:AlternateContent>
    <mc:AlternateContent xmlns:mc="http://schemas.openxmlformats.org/markup-compatibility/2006">
      <mc:Choice Requires="x14">
        <oleObject progId="Equation.3" shapeId="2073" r:id="rId13">
          <objectPr defaultSize="0" autoPict="0" r:id="rId9">
            <anchor moveWithCells="1">
              <from>
                <xdr:col>26</xdr:col>
                <xdr:colOff>57150</xdr:colOff>
                <xdr:row>1</xdr:row>
                <xdr:rowOff>200025</xdr:rowOff>
              </from>
              <to>
                <xdr:col>27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73" r:id="rId13"/>
      </mc:Fallback>
    </mc:AlternateContent>
    <mc:AlternateContent xmlns:mc="http://schemas.openxmlformats.org/markup-compatibility/2006">
      <mc:Choice Requires="x14">
        <oleObject progId="Equation.3" shapeId="2074" r:id="rId14">
          <objectPr defaultSize="0" autoPict="0" r:id="rId5">
            <anchor moveWithCells="1">
              <from>
                <xdr:col>24</xdr:col>
                <xdr:colOff>152400</xdr:colOff>
                <xdr:row>1</xdr:row>
                <xdr:rowOff>47625</xdr:rowOff>
              </from>
              <to>
                <xdr:col>25</xdr:col>
                <xdr:colOff>9525</xdr:colOff>
                <xdr:row>2</xdr:row>
                <xdr:rowOff>19050</xdr:rowOff>
              </to>
            </anchor>
          </objectPr>
        </oleObject>
      </mc:Choice>
      <mc:Fallback>
        <oleObject progId="Equation.3" shapeId="2074" r:id="rId14"/>
      </mc:Fallback>
    </mc:AlternateContent>
    <mc:AlternateContent xmlns:mc="http://schemas.openxmlformats.org/markup-compatibility/2006">
      <mc:Choice Requires="x14">
        <oleObject progId="Equation.3" shapeId="2084" r:id="rId15">
          <objectPr defaultSize="0" autoPict="0" r:id="rId16">
            <anchor moveWithCells="1">
              <from>
                <xdr:col>39</xdr:col>
                <xdr:colOff>0</xdr:colOff>
                <xdr:row>0</xdr:row>
                <xdr:rowOff>0</xdr:rowOff>
              </from>
              <to>
                <xdr:col>39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Equation.3" shapeId="2084" r:id="rId15"/>
      </mc:Fallback>
    </mc:AlternateContent>
    <mc:AlternateContent xmlns:mc="http://schemas.openxmlformats.org/markup-compatibility/2006">
      <mc:Choice Requires="x14">
        <oleObject progId="Equation.3" shapeId="2091" r:id="rId17">
          <objectPr defaultSize="0" autoPict="0" r:id="rId18">
            <anchor moveWithCells="1">
              <from>
                <xdr:col>31</xdr:col>
                <xdr:colOff>114300</xdr:colOff>
                <xdr:row>1</xdr:row>
                <xdr:rowOff>238125</xdr:rowOff>
              </from>
              <to>
                <xdr:col>31</xdr:col>
                <xdr:colOff>666750</xdr:colOff>
                <xdr:row>1</xdr:row>
                <xdr:rowOff>523875</xdr:rowOff>
              </to>
            </anchor>
          </objectPr>
        </oleObject>
      </mc:Choice>
      <mc:Fallback>
        <oleObject progId="Equation.3" shapeId="2091" r:id="rId17"/>
      </mc:Fallback>
    </mc:AlternateContent>
    <mc:AlternateContent xmlns:mc="http://schemas.openxmlformats.org/markup-compatibility/2006">
      <mc:Choice Requires="x14">
        <oleObject progId="Equation.3" shapeId="2092" r:id="rId19">
          <objectPr defaultSize="0" autoPict="0" r:id="rId9">
            <anchor moveWithCells="1">
              <from>
                <xdr:col>32</xdr:col>
                <xdr:colOff>276225</xdr:colOff>
                <xdr:row>1</xdr:row>
                <xdr:rowOff>419100</xdr:rowOff>
              </from>
              <to>
                <xdr:col>33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2" r:id="rId19"/>
      </mc:Fallback>
    </mc:AlternateContent>
    <mc:AlternateContent xmlns:mc="http://schemas.openxmlformats.org/markup-compatibility/2006">
      <mc:Choice Requires="x14">
        <oleObject progId="Equation.3" shapeId="2094" r:id="rId20">
          <objectPr defaultSize="0" autoPict="0" r:id="rId5">
            <anchor moveWithCells="1">
              <from>
                <xdr:col>30</xdr:col>
                <xdr:colOff>142875</xdr:colOff>
                <xdr:row>1</xdr:row>
                <xdr:rowOff>200025</xdr:rowOff>
              </from>
              <to>
                <xdr:col>31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4" r:id="rId20"/>
      </mc:Fallback>
    </mc:AlternateContent>
    <mc:AlternateContent xmlns:mc="http://schemas.openxmlformats.org/markup-compatibility/2006">
      <mc:Choice Requires="x14">
        <oleObject progId="Equation.3" shapeId="2095" r:id="rId21">
          <objectPr defaultSize="0" autoPict="0" r:id="rId5">
            <anchor moveWithCells="1">
              <from>
                <xdr:col>36</xdr:col>
                <xdr:colOff>47625</xdr:colOff>
                <xdr:row>1</xdr:row>
                <xdr:rowOff>228600</xdr:rowOff>
              </from>
              <to>
                <xdr:col>37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5" r:id="rId21"/>
      </mc:Fallback>
    </mc:AlternateContent>
    <mc:AlternateContent xmlns:mc="http://schemas.openxmlformats.org/markup-compatibility/2006">
      <mc:Choice Requires="x14">
        <oleObject progId="Equation.3" shapeId="2096" r:id="rId22">
          <objectPr defaultSize="0" autoPict="0" r:id="rId23">
            <anchor moveWithCells="1">
              <from>
                <xdr:col>37</xdr:col>
                <xdr:colOff>76200</xdr:colOff>
                <xdr:row>1</xdr:row>
                <xdr:rowOff>238125</xdr:rowOff>
              </from>
              <to>
                <xdr:col>38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6" r:id="rId22"/>
      </mc:Fallback>
    </mc:AlternateContent>
    <mc:AlternateContent xmlns:mc="http://schemas.openxmlformats.org/markup-compatibility/2006">
      <mc:Choice Requires="x14">
        <oleObject progId="Equation.3" shapeId="2097" r:id="rId24">
          <objectPr defaultSize="0" autoPict="0" r:id="rId5">
            <anchor moveWithCells="1">
              <from>
                <xdr:col>42</xdr:col>
                <xdr:colOff>47625</xdr:colOff>
                <xdr:row>1</xdr:row>
                <xdr:rowOff>228600</xdr:rowOff>
              </from>
              <to>
                <xdr:col>43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7" r:id="rId24"/>
      </mc:Fallback>
    </mc:AlternateContent>
    <mc:AlternateContent xmlns:mc="http://schemas.openxmlformats.org/markup-compatibility/2006">
      <mc:Choice Requires="x14">
        <oleObject progId="Equation.3" shapeId="2098" r:id="rId25">
          <objectPr defaultSize="0" autoPict="0" r:id="rId26">
            <anchor moveWithCells="1">
              <from>
                <xdr:col>43</xdr:col>
                <xdr:colOff>142875</xdr:colOff>
                <xdr:row>1</xdr:row>
                <xdr:rowOff>161925</xdr:rowOff>
              </from>
              <to>
                <xdr:col>44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098" r:id="rId25"/>
      </mc:Fallback>
    </mc:AlternateContent>
    <mc:AlternateContent xmlns:mc="http://schemas.openxmlformats.org/markup-compatibility/2006">
      <mc:Choice Requires="x14">
        <oleObject progId="Equation.3" shapeId="2100" r:id="rId27">
          <objectPr defaultSize="0" autoPict="0" r:id="rId9">
            <anchor moveWithCells="1">
              <from>
                <xdr:col>44</xdr:col>
                <xdr:colOff>66675</xdr:colOff>
                <xdr:row>1</xdr:row>
                <xdr:rowOff>352425</xdr:rowOff>
              </from>
              <to>
                <xdr:col>45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0" r:id="rId27"/>
      </mc:Fallback>
    </mc:AlternateContent>
    <mc:AlternateContent xmlns:mc="http://schemas.openxmlformats.org/markup-compatibility/2006">
      <mc:Choice Requires="x14">
        <oleObject progId="Equation.3" shapeId="2101" r:id="rId28">
          <objectPr defaultSize="0" autoPict="0" r:id="rId9">
            <anchor moveWithCells="1">
              <from>
                <xdr:col>38</xdr:col>
                <xdr:colOff>104775</xdr:colOff>
                <xdr:row>1</xdr:row>
                <xdr:rowOff>352425</xdr:rowOff>
              </from>
              <to>
                <xdr:col>39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1" r:id="rId28"/>
      </mc:Fallback>
    </mc:AlternateContent>
    <mc:AlternateContent xmlns:mc="http://schemas.openxmlformats.org/markup-compatibility/2006">
      <mc:Choice Requires="x14">
        <oleObject progId="Equation.3" shapeId="2102" r:id="rId29">
          <objectPr defaultSize="0" autoPict="0" r:id="rId5">
            <anchor moveWithCells="1">
              <from>
                <xdr:col>48</xdr:col>
                <xdr:colOff>47625</xdr:colOff>
                <xdr:row>1</xdr:row>
                <xdr:rowOff>228600</xdr:rowOff>
              </from>
              <to>
                <xdr:col>49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2" r:id="rId29"/>
      </mc:Fallback>
    </mc:AlternateContent>
    <mc:AlternateContent xmlns:mc="http://schemas.openxmlformats.org/markup-compatibility/2006">
      <mc:Choice Requires="x14">
        <oleObject progId="Equation.3" shapeId="2104" r:id="rId30">
          <objectPr defaultSize="0" autoPict="0" r:id="rId9">
            <anchor moveWithCells="1">
              <from>
                <xdr:col>50</xdr:col>
                <xdr:colOff>276225</xdr:colOff>
                <xdr:row>1</xdr:row>
                <xdr:rowOff>381000</xdr:rowOff>
              </from>
              <to>
                <xdr:col>51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4" r:id="rId30"/>
      </mc:Fallback>
    </mc:AlternateContent>
    <mc:AlternateContent xmlns:mc="http://schemas.openxmlformats.org/markup-compatibility/2006">
      <mc:Choice Requires="x14">
        <oleObject progId="Equation.3" shapeId="2106" r:id="rId31">
          <objectPr defaultSize="0" autoPict="0" r:id="rId32">
            <anchor moveWithCells="1">
              <from>
                <xdr:col>49</xdr:col>
                <xdr:colOff>219075</xdr:colOff>
                <xdr:row>1</xdr:row>
                <xdr:rowOff>257175</xdr:rowOff>
              </from>
              <to>
                <xdr:col>50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6" r:id="rId31"/>
      </mc:Fallback>
    </mc:AlternateContent>
    <mc:AlternateContent xmlns:mc="http://schemas.openxmlformats.org/markup-compatibility/2006">
      <mc:Choice Requires="x14">
        <oleObject progId="Equation.3" shapeId="2107" r:id="rId33">
          <objectPr defaultSize="0" autoPict="0" r:id="rId5">
            <anchor moveWithCells="1">
              <from>
                <xdr:col>54</xdr:col>
                <xdr:colOff>123825</xdr:colOff>
                <xdr:row>1</xdr:row>
                <xdr:rowOff>238125</xdr:rowOff>
              </from>
              <to>
                <xdr:col>55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07" r:id="rId33"/>
      </mc:Fallback>
    </mc:AlternateContent>
    <mc:AlternateContent xmlns:mc="http://schemas.openxmlformats.org/markup-compatibility/2006">
      <mc:Choice Requires="x14">
        <oleObject progId="Equation.3" shapeId="2109" r:id="rId34">
          <objectPr defaultSize="0" autoPict="0" r:id="rId35">
            <anchor moveWithCells="1">
              <from>
                <xdr:col>55</xdr:col>
                <xdr:colOff>95250</xdr:colOff>
                <xdr:row>1</xdr:row>
                <xdr:rowOff>28575</xdr:rowOff>
              </from>
              <to>
                <xdr:col>56</xdr:col>
                <xdr:colOff>19050</xdr:colOff>
                <xdr:row>1</xdr:row>
                <xdr:rowOff>438150</xdr:rowOff>
              </to>
            </anchor>
          </objectPr>
        </oleObject>
      </mc:Choice>
      <mc:Fallback>
        <oleObject progId="Equation.3" shapeId="2109" r:id="rId34"/>
      </mc:Fallback>
    </mc:AlternateContent>
    <mc:AlternateContent xmlns:mc="http://schemas.openxmlformats.org/markup-compatibility/2006">
      <mc:Choice Requires="x14">
        <oleObject progId="Equation.3" shapeId="2111" r:id="rId36">
          <objectPr defaultSize="0" autoPict="0" r:id="rId9">
            <anchor moveWithCells="1">
              <from>
                <xdr:col>56</xdr:col>
                <xdr:colOff>342900</xdr:colOff>
                <xdr:row>1</xdr:row>
                <xdr:rowOff>457200</xdr:rowOff>
              </from>
              <to>
                <xdr:col>57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Equation.3" shapeId="2111" r:id="rId36"/>
      </mc:Fallback>
    </mc:AlternateContent>
    <mc:AlternateContent xmlns:mc="http://schemas.openxmlformats.org/markup-compatibility/2006">
      <mc:Choice Requires="x14">
        <oleObject progId="Equation.3" shapeId="2050" r:id="rId37">
          <objectPr defaultSize="0" autoPict="0" r:id="rId38">
            <anchor moveWithCells="1">
              <from>
                <xdr:col>14</xdr:col>
                <xdr:colOff>152400</xdr:colOff>
                <xdr:row>1</xdr:row>
                <xdr:rowOff>409575</xdr:rowOff>
              </from>
              <to>
                <xdr:col>15</xdr:col>
                <xdr:colOff>9525</xdr:colOff>
                <xdr:row>1</xdr:row>
                <xdr:rowOff>409575</xdr:rowOff>
              </to>
            </anchor>
          </objectPr>
        </oleObject>
      </mc:Choice>
      <mc:Fallback>
        <oleObject progId="Equation.3" shapeId="2050" r:id="rId37"/>
      </mc:Fallback>
    </mc:AlternateContent>
    <mc:AlternateContent xmlns:mc="http://schemas.openxmlformats.org/markup-compatibility/2006">
      <mc:Choice Requires="x14">
        <oleObject progId="Equation.3" shapeId="2057" r:id="rId39">
          <objectPr defaultSize="0" autoPict="0" r:id="rId40">
            <anchor moveWithCells="1">
              <from>
                <xdr:col>12</xdr:col>
                <xdr:colOff>238125</xdr:colOff>
                <xdr:row>1</xdr:row>
                <xdr:rowOff>76200</xdr:rowOff>
              </from>
              <to>
                <xdr:col>13</xdr:col>
                <xdr:colOff>57150</xdr:colOff>
                <xdr:row>1</xdr:row>
                <xdr:rowOff>485775</xdr:rowOff>
              </to>
            </anchor>
          </objectPr>
        </oleObject>
      </mc:Choice>
      <mc:Fallback>
        <oleObject progId="Equation.3" shapeId="2057" r:id="rId39"/>
      </mc:Fallback>
    </mc:AlternateContent>
    <mc:AlternateContent xmlns:mc="http://schemas.openxmlformats.org/markup-compatibility/2006">
      <mc:Choice Requires="x14">
        <oleObject progId="Equation.3" shapeId="2059" r:id="rId41">
          <objectPr defaultSize="0" autoPict="0" r:id="rId38">
            <anchor moveWithCells="1">
              <from>
                <xdr:col>14</xdr:col>
                <xdr:colOff>247650</xdr:colOff>
                <xdr:row>1</xdr:row>
                <xdr:rowOff>76200</xdr:rowOff>
              </from>
              <to>
                <xdr:col>15</xdr:col>
                <xdr:colOff>171450</xdr:colOff>
                <xdr:row>1</xdr:row>
                <xdr:rowOff>438150</xdr:rowOff>
              </to>
            </anchor>
          </objectPr>
        </oleObject>
      </mc:Choice>
      <mc:Fallback>
        <oleObject progId="Equation.3" shapeId="2059" r:id="rId41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96"/>
  <sheetViews>
    <sheetView zoomScale="80" zoomScaleNormal="80" zoomScalePageLayoutView="80" workbookViewId="0">
      <pane xSplit="1" ySplit="3" topLeftCell="B76" activePane="bottomRight" state="frozen"/>
      <selection pane="topRight" activeCell="B1" sqref="B1"/>
      <selection pane="bottomLeft" activeCell="A4" sqref="A4"/>
      <selection pane="bottomRight" activeCell="H87" sqref="H87"/>
    </sheetView>
  </sheetViews>
  <sheetFormatPr baseColWidth="10" defaultColWidth="11.42578125" defaultRowHeight="15" x14ac:dyDescent="0.25"/>
  <cols>
    <col min="3" max="3" width="4" customWidth="1"/>
    <col min="6" max="6" width="3.7109375" customWidth="1"/>
    <col min="9" max="9" width="4.28515625" customWidth="1"/>
    <col min="12" max="12" width="13" customWidth="1"/>
    <col min="15" max="15" width="3.28515625" customWidth="1"/>
    <col min="18" max="18" width="13.28515625" customWidth="1"/>
  </cols>
  <sheetData>
    <row r="1" spans="1:29" x14ac:dyDescent="0.25">
      <c r="A1" s="418" t="s">
        <v>84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35"/>
      <c r="M1" s="419" t="s">
        <v>85</v>
      </c>
      <c r="N1" s="419"/>
      <c r="O1" s="419"/>
      <c r="P1" s="419"/>
      <c r="Q1" s="419"/>
      <c r="S1" t="s">
        <v>189</v>
      </c>
    </row>
    <row r="2" spans="1:29" ht="50.25" customHeight="1" x14ac:dyDescent="0.25">
      <c r="A2" s="413" t="s">
        <v>156</v>
      </c>
      <c r="B2" s="414"/>
      <c r="C2" s="36"/>
      <c r="D2" s="413" t="s">
        <v>78</v>
      </c>
      <c r="E2" s="414"/>
      <c r="F2" s="36"/>
      <c r="G2" s="413" t="s">
        <v>94</v>
      </c>
      <c r="H2" s="414"/>
      <c r="I2" s="36"/>
      <c r="J2" s="413" t="s">
        <v>93</v>
      </c>
      <c r="K2" s="414"/>
      <c r="L2" s="36"/>
      <c r="M2" s="413" t="s">
        <v>89</v>
      </c>
      <c r="N2" s="414"/>
      <c r="O2" s="36"/>
      <c r="P2" s="413" t="s">
        <v>90</v>
      </c>
      <c r="Q2" s="414"/>
      <c r="R2" s="44"/>
      <c r="S2" s="413" t="s">
        <v>96</v>
      </c>
      <c r="T2" s="414"/>
    </row>
    <row r="3" spans="1:29" ht="24.75" x14ac:dyDescent="0.25">
      <c r="A3" s="37"/>
      <c r="B3" s="38" t="s">
        <v>91</v>
      </c>
      <c r="C3" s="36"/>
      <c r="D3" s="37"/>
      <c r="E3" s="38" t="s">
        <v>91</v>
      </c>
      <c r="F3" s="36"/>
      <c r="G3" s="37"/>
      <c r="H3" s="38" t="s">
        <v>91</v>
      </c>
      <c r="I3" s="39"/>
      <c r="J3" s="37"/>
      <c r="K3" s="38" t="s">
        <v>91</v>
      </c>
      <c r="L3" s="36"/>
      <c r="M3" s="37"/>
      <c r="N3" s="38" t="s">
        <v>91</v>
      </c>
      <c r="O3" s="36"/>
      <c r="P3" s="37"/>
      <c r="Q3" s="45" t="s">
        <v>91</v>
      </c>
      <c r="S3" s="37"/>
      <c r="T3" s="45" t="s">
        <v>91</v>
      </c>
    </row>
    <row r="4" spans="1:29" s="126" customFormat="1" ht="15.75" x14ac:dyDescent="0.25">
      <c r="A4" s="1" t="s">
        <v>199</v>
      </c>
      <c r="B4" s="126">
        <v>271</v>
      </c>
      <c r="C4" s="39"/>
      <c r="D4" s="1" t="s">
        <v>199</v>
      </c>
      <c r="E4" s="131">
        <v>396.5</v>
      </c>
      <c r="F4" s="39"/>
      <c r="G4" s="1" t="s">
        <v>199</v>
      </c>
      <c r="H4" s="131">
        <v>55.8</v>
      </c>
      <c r="I4" s="39"/>
      <c r="J4" s="1" t="s">
        <v>199</v>
      </c>
      <c r="K4" s="131">
        <v>101.2</v>
      </c>
      <c r="L4" s="39"/>
      <c r="M4" s="1" t="s">
        <v>199</v>
      </c>
      <c r="N4" s="131">
        <v>136.9</v>
      </c>
      <c r="O4" s="39"/>
      <c r="P4" s="1" t="s">
        <v>199</v>
      </c>
      <c r="Q4" s="131">
        <v>60.3</v>
      </c>
      <c r="S4" s="1" t="s">
        <v>199</v>
      </c>
      <c r="T4" s="131">
        <f>SUM(B4+E4+H4+K4+N4+Q4)</f>
        <v>1021.6999999999999</v>
      </c>
      <c r="U4" s="13"/>
    </row>
    <row r="5" spans="1:29" s="126" customFormat="1" ht="15.75" x14ac:dyDescent="0.25">
      <c r="A5" s="1" t="s">
        <v>200</v>
      </c>
      <c r="B5" s="131">
        <v>192.4</v>
      </c>
      <c r="C5" s="39"/>
      <c r="D5" s="1" t="s">
        <v>200</v>
      </c>
      <c r="E5" s="131">
        <v>404.4</v>
      </c>
      <c r="F5" s="39"/>
      <c r="G5" s="1" t="s">
        <v>200</v>
      </c>
      <c r="H5" s="131">
        <v>50.3</v>
      </c>
      <c r="I5" s="39"/>
      <c r="J5" s="1" t="s">
        <v>200</v>
      </c>
      <c r="K5" s="131">
        <v>141.69999999999999</v>
      </c>
      <c r="L5" s="39"/>
      <c r="M5" s="1" t="s">
        <v>200</v>
      </c>
      <c r="N5" s="131">
        <v>139.69999999999999</v>
      </c>
      <c r="O5" s="39"/>
      <c r="P5" s="1" t="s">
        <v>200</v>
      </c>
      <c r="Q5" s="131">
        <v>166.6</v>
      </c>
      <c r="S5" s="1" t="s">
        <v>200</v>
      </c>
      <c r="T5" s="131">
        <f t="shared" ref="T5:T11" si="0">SUM(B5+E5+H5+K5+N5+Q5)</f>
        <v>1095.0999999999999</v>
      </c>
      <c r="U5" s="13"/>
    </row>
    <row r="6" spans="1:29" s="126" customFormat="1" ht="15.75" x14ac:dyDescent="0.25">
      <c r="A6" s="1" t="s">
        <v>201</v>
      </c>
      <c r="B6" s="131">
        <v>267.60000000000002</v>
      </c>
      <c r="C6" s="39"/>
      <c r="D6" s="1" t="s">
        <v>201</v>
      </c>
      <c r="E6" s="131">
        <v>386.4</v>
      </c>
      <c r="F6" s="39"/>
      <c r="G6" s="1" t="s">
        <v>201</v>
      </c>
      <c r="H6" s="131">
        <v>46.1</v>
      </c>
      <c r="I6" s="39"/>
      <c r="J6" s="1" t="s">
        <v>201</v>
      </c>
      <c r="K6" s="131">
        <v>112.2</v>
      </c>
      <c r="L6" s="39"/>
      <c r="M6" s="1" t="s">
        <v>201</v>
      </c>
      <c r="N6" s="131">
        <v>148.5</v>
      </c>
      <c r="O6" s="39"/>
      <c r="P6" s="1" t="s">
        <v>201</v>
      </c>
      <c r="Q6" s="131">
        <v>139.4</v>
      </c>
      <c r="S6" s="1" t="s">
        <v>201</v>
      </c>
      <c r="T6" s="131">
        <f t="shared" si="0"/>
        <v>1100.2</v>
      </c>
      <c r="U6" s="13"/>
    </row>
    <row r="7" spans="1:29" s="126" customFormat="1" ht="15.75" x14ac:dyDescent="0.25">
      <c r="A7" s="1" t="s">
        <v>202</v>
      </c>
      <c r="B7" s="131">
        <v>210.3</v>
      </c>
      <c r="C7" s="39"/>
      <c r="D7" s="1" t="s">
        <v>202</v>
      </c>
      <c r="E7" s="131">
        <v>322.39999999999998</v>
      </c>
      <c r="F7" s="39"/>
      <c r="G7" s="1" t="s">
        <v>202</v>
      </c>
      <c r="H7" s="131">
        <v>44.8</v>
      </c>
      <c r="I7" s="39"/>
      <c r="J7" s="1" t="s">
        <v>202</v>
      </c>
      <c r="K7" s="131">
        <v>137.4</v>
      </c>
      <c r="L7" s="39"/>
      <c r="M7" s="1" t="s">
        <v>202</v>
      </c>
      <c r="N7" s="131">
        <v>177</v>
      </c>
      <c r="O7" s="39"/>
      <c r="P7" s="1" t="s">
        <v>202</v>
      </c>
      <c r="Q7" s="131">
        <v>77</v>
      </c>
      <c r="S7" s="1" t="s">
        <v>202</v>
      </c>
      <c r="T7" s="131">
        <f t="shared" si="0"/>
        <v>968.9</v>
      </c>
      <c r="U7" s="13"/>
    </row>
    <row r="8" spans="1:29" s="126" customFormat="1" ht="15.75" x14ac:dyDescent="0.25">
      <c r="A8" s="1" t="s">
        <v>203</v>
      </c>
      <c r="B8" s="131">
        <v>330.1</v>
      </c>
      <c r="D8" s="1" t="s">
        <v>203</v>
      </c>
      <c r="E8" s="131">
        <v>245.2</v>
      </c>
      <c r="G8" s="1" t="s">
        <v>203</v>
      </c>
      <c r="H8" s="131">
        <v>27.6</v>
      </c>
      <c r="J8" s="1" t="s">
        <v>203</v>
      </c>
      <c r="K8" s="131">
        <v>100.39999999999999</v>
      </c>
      <c r="M8" s="1" t="s">
        <v>203</v>
      </c>
      <c r="N8" s="131">
        <v>102.3</v>
      </c>
      <c r="P8" s="1" t="s">
        <v>203</v>
      </c>
      <c r="Q8" s="131">
        <v>21.8</v>
      </c>
      <c r="S8" s="1" t="s">
        <v>203</v>
      </c>
      <c r="T8" s="131">
        <f t="shared" si="0"/>
        <v>827.39999999999986</v>
      </c>
      <c r="U8" s="14"/>
    </row>
    <row r="9" spans="1:29" s="126" customFormat="1" ht="15.75" x14ac:dyDescent="0.25">
      <c r="A9" s="1" t="s">
        <v>204</v>
      </c>
      <c r="B9" s="131">
        <v>251.1</v>
      </c>
      <c r="D9" s="1" t="s">
        <v>204</v>
      </c>
      <c r="E9" s="131">
        <v>248.5</v>
      </c>
      <c r="F9" s="41"/>
      <c r="G9" s="1" t="s">
        <v>204</v>
      </c>
      <c r="H9" s="131">
        <v>34.1</v>
      </c>
      <c r="J9" s="1" t="s">
        <v>204</v>
      </c>
      <c r="K9" s="131">
        <v>73.099999999999994</v>
      </c>
      <c r="M9" s="1" t="s">
        <v>204</v>
      </c>
      <c r="N9" s="131">
        <v>106.1</v>
      </c>
      <c r="P9" s="1" t="s">
        <v>204</v>
      </c>
      <c r="Q9" s="131">
        <v>101.7</v>
      </c>
      <c r="S9" s="1" t="s">
        <v>204</v>
      </c>
      <c r="T9" s="131">
        <f t="shared" si="0"/>
        <v>814.60000000000014</v>
      </c>
      <c r="U9" s="13"/>
    </row>
    <row r="10" spans="1:29" s="126" customFormat="1" ht="15.75" x14ac:dyDescent="0.25">
      <c r="A10" s="1" t="s">
        <v>205</v>
      </c>
      <c r="B10" s="131">
        <v>341</v>
      </c>
      <c r="D10" s="1" t="s">
        <v>205</v>
      </c>
      <c r="E10" s="131">
        <v>227.7</v>
      </c>
      <c r="G10" s="1" t="s">
        <v>205</v>
      </c>
      <c r="H10" s="131">
        <v>47.3</v>
      </c>
      <c r="J10" s="1" t="s">
        <v>205</v>
      </c>
      <c r="K10" s="131">
        <v>68.199999999999989</v>
      </c>
      <c r="M10" s="1" t="s">
        <v>205</v>
      </c>
      <c r="N10" s="131">
        <v>105</v>
      </c>
      <c r="P10" s="1" t="s">
        <v>205</v>
      </c>
      <c r="Q10" s="131">
        <v>60.1</v>
      </c>
      <c r="S10" s="1" t="s">
        <v>205</v>
      </c>
      <c r="T10" s="131">
        <f t="shared" si="0"/>
        <v>849.30000000000007</v>
      </c>
      <c r="U10" s="13"/>
    </row>
    <row r="11" spans="1:29" s="126" customFormat="1" ht="15.75" x14ac:dyDescent="0.25">
      <c r="A11" s="1" t="s">
        <v>206</v>
      </c>
      <c r="B11" s="131">
        <v>236.4</v>
      </c>
      <c r="D11" s="1" t="s">
        <v>206</v>
      </c>
      <c r="E11" s="131">
        <v>202.6</v>
      </c>
      <c r="G11" s="1" t="s">
        <v>206</v>
      </c>
      <c r="H11" s="131">
        <v>19.399999999999999</v>
      </c>
      <c r="J11" s="1" t="s">
        <v>206</v>
      </c>
      <c r="K11" s="131">
        <v>59.2</v>
      </c>
      <c r="M11" s="1" t="s">
        <v>206</v>
      </c>
      <c r="N11" s="131">
        <v>153.4</v>
      </c>
      <c r="P11" s="1" t="s">
        <v>206</v>
      </c>
      <c r="Q11" s="131">
        <v>63.5</v>
      </c>
      <c r="S11" s="1" t="s">
        <v>206</v>
      </c>
      <c r="T11" s="131">
        <f t="shared" si="0"/>
        <v>734.5</v>
      </c>
      <c r="U11" s="14"/>
    </row>
    <row r="12" spans="1:29" ht="15.75" x14ac:dyDescent="0.25">
      <c r="A12" s="1" t="s">
        <v>0</v>
      </c>
      <c r="B12" s="131">
        <v>289.3</v>
      </c>
      <c r="C12" s="39"/>
      <c r="D12" s="1" t="s">
        <v>0</v>
      </c>
      <c r="E12" s="131">
        <v>120.5</v>
      </c>
      <c r="F12" s="39"/>
      <c r="G12" s="1" t="s">
        <v>0</v>
      </c>
      <c r="H12" s="131">
        <v>22.4</v>
      </c>
      <c r="I12" s="39"/>
      <c r="J12" s="1" t="s">
        <v>0</v>
      </c>
      <c r="K12" s="131">
        <v>77.900000000000006</v>
      </c>
      <c r="L12" s="39"/>
      <c r="M12" s="1" t="s">
        <v>0</v>
      </c>
      <c r="N12" s="131">
        <v>42.1</v>
      </c>
      <c r="O12" s="39"/>
      <c r="P12" s="1" t="s">
        <v>0</v>
      </c>
      <c r="Q12" s="131">
        <v>61.4</v>
      </c>
      <c r="S12" s="1" t="s">
        <v>0</v>
      </c>
      <c r="T12" s="131">
        <f>SUM(B12+E12+H12+K12+N12+Q12)</f>
        <v>613.6</v>
      </c>
      <c r="U12" s="13"/>
      <c r="V12" s="126"/>
      <c r="W12" s="126"/>
      <c r="X12" s="126"/>
      <c r="Y12" s="126"/>
      <c r="Z12" s="126"/>
      <c r="AA12" s="126"/>
      <c r="AB12" s="126"/>
      <c r="AC12" s="126"/>
    </row>
    <row r="13" spans="1:29" ht="15.75" x14ac:dyDescent="0.25">
      <c r="A13" s="1" t="s">
        <v>6</v>
      </c>
      <c r="B13" s="131">
        <v>216.4</v>
      </c>
      <c r="D13" s="1" t="s">
        <v>6</v>
      </c>
      <c r="E13" s="131">
        <v>137.9</v>
      </c>
      <c r="G13" s="1" t="s">
        <v>6</v>
      </c>
      <c r="H13" s="131">
        <v>29</v>
      </c>
      <c r="J13" s="1" t="s">
        <v>6</v>
      </c>
      <c r="K13" s="131">
        <v>129.9</v>
      </c>
      <c r="M13" s="1" t="s">
        <v>6</v>
      </c>
      <c r="N13" s="131">
        <v>113.6</v>
      </c>
      <c r="P13" s="1" t="s">
        <v>6</v>
      </c>
      <c r="Q13" s="131">
        <v>40.4</v>
      </c>
      <c r="S13" s="1" t="s">
        <v>6</v>
      </c>
      <c r="T13" s="131">
        <f t="shared" ref="T13:T43" si="1">SUM(B13+E13+H13+K13+N13+Q13)</f>
        <v>667.2</v>
      </c>
      <c r="U13" s="14"/>
      <c r="V13" s="126"/>
      <c r="W13" s="126"/>
      <c r="X13" s="126"/>
      <c r="Y13" s="126"/>
      <c r="Z13" s="126"/>
      <c r="AA13" s="126"/>
      <c r="AB13" s="126"/>
      <c r="AC13" s="126"/>
    </row>
    <row r="14" spans="1:29" ht="15.75" x14ac:dyDescent="0.25">
      <c r="A14" s="1" t="s">
        <v>1</v>
      </c>
      <c r="B14" s="131">
        <v>382.1</v>
      </c>
      <c r="D14" s="1" t="s">
        <v>1</v>
      </c>
      <c r="E14" s="131">
        <v>182.8</v>
      </c>
      <c r="F14" s="41"/>
      <c r="G14" s="1" t="s">
        <v>1</v>
      </c>
      <c r="H14" s="131">
        <v>40.1</v>
      </c>
      <c r="J14" s="1" t="s">
        <v>1</v>
      </c>
      <c r="K14" s="131">
        <v>161.5</v>
      </c>
      <c r="M14" s="1" t="s">
        <v>1</v>
      </c>
      <c r="N14" s="131">
        <v>124.9</v>
      </c>
      <c r="P14" s="1" t="s">
        <v>1</v>
      </c>
      <c r="Q14" s="131">
        <v>52.9</v>
      </c>
      <c r="S14" s="1" t="s">
        <v>1</v>
      </c>
      <c r="T14" s="131">
        <f t="shared" si="1"/>
        <v>944.30000000000007</v>
      </c>
      <c r="U14" s="13"/>
      <c r="V14" s="126"/>
      <c r="W14" s="126"/>
      <c r="X14" s="126"/>
      <c r="Y14" s="126"/>
      <c r="Z14" s="126"/>
      <c r="AA14" s="126"/>
      <c r="AB14" s="126"/>
      <c r="AC14" s="126"/>
    </row>
    <row r="15" spans="1:29" ht="15.75" x14ac:dyDescent="0.25">
      <c r="A15" s="1" t="s">
        <v>2</v>
      </c>
      <c r="B15" s="131">
        <v>127.3</v>
      </c>
      <c r="D15" s="1" t="s">
        <v>2</v>
      </c>
      <c r="E15" s="131">
        <v>268.2</v>
      </c>
      <c r="G15" s="1" t="s">
        <v>2</v>
      </c>
      <c r="H15" s="131">
        <v>83.5</v>
      </c>
      <c r="J15" s="1" t="s">
        <v>2</v>
      </c>
      <c r="K15" s="131">
        <v>313.10000000000002</v>
      </c>
      <c r="M15" s="1" t="s">
        <v>2</v>
      </c>
      <c r="N15" s="131">
        <v>144.69999999999999</v>
      </c>
      <c r="P15" s="1" t="s">
        <v>2</v>
      </c>
      <c r="Q15" s="131">
        <v>79</v>
      </c>
      <c r="S15" s="1" t="s">
        <v>2</v>
      </c>
      <c r="T15" s="131">
        <f t="shared" si="1"/>
        <v>1015.8</v>
      </c>
      <c r="U15" s="13"/>
      <c r="V15" s="126"/>
      <c r="W15" s="126"/>
      <c r="X15" s="126"/>
      <c r="Y15" s="126"/>
      <c r="Z15" s="126"/>
      <c r="AA15" s="126"/>
      <c r="AB15" s="126"/>
      <c r="AC15" s="126"/>
    </row>
    <row r="16" spans="1:29" ht="15.75" x14ac:dyDescent="0.25">
      <c r="A16" s="1" t="s">
        <v>3</v>
      </c>
      <c r="B16" s="131">
        <v>215.6</v>
      </c>
      <c r="D16" s="1" t="s">
        <v>3</v>
      </c>
      <c r="E16" s="131">
        <v>232</v>
      </c>
      <c r="G16" s="1" t="s">
        <v>3</v>
      </c>
      <c r="H16" s="131">
        <v>34</v>
      </c>
      <c r="J16" s="1" t="s">
        <v>3</v>
      </c>
      <c r="K16" s="131">
        <v>107.30000000000001</v>
      </c>
      <c r="M16" s="1" t="s">
        <v>3</v>
      </c>
      <c r="N16" s="131">
        <v>123</v>
      </c>
      <c r="P16" s="1" t="s">
        <v>3</v>
      </c>
      <c r="Q16" s="131">
        <v>285</v>
      </c>
      <c r="S16" s="1" t="s">
        <v>3</v>
      </c>
      <c r="T16" s="131">
        <f t="shared" si="1"/>
        <v>996.90000000000009</v>
      </c>
      <c r="U16" s="14"/>
    </row>
    <row r="17" spans="1:21" ht="15.75" x14ac:dyDescent="0.25">
      <c r="A17" s="1" t="s">
        <v>4</v>
      </c>
      <c r="B17" s="131">
        <v>269.7</v>
      </c>
      <c r="D17" s="1" t="s">
        <v>4</v>
      </c>
      <c r="E17" s="131">
        <v>277</v>
      </c>
      <c r="G17" s="1" t="s">
        <v>4</v>
      </c>
      <c r="H17" s="131">
        <v>46</v>
      </c>
      <c r="J17" s="1" t="s">
        <v>4</v>
      </c>
      <c r="K17" s="131">
        <v>93.5</v>
      </c>
      <c r="M17" s="1" t="s">
        <v>4</v>
      </c>
      <c r="N17" s="131">
        <v>157</v>
      </c>
      <c r="P17" s="1" t="s">
        <v>4</v>
      </c>
      <c r="Q17" s="131">
        <v>185.1</v>
      </c>
      <c r="S17" s="1" t="s">
        <v>4</v>
      </c>
      <c r="T17" s="131">
        <f t="shared" si="1"/>
        <v>1028.3</v>
      </c>
      <c r="U17" s="14"/>
    </row>
    <row r="18" spans="1:21" ht="15.75" x14ac:dyDescent="0.25">
      <c r="A18" s="1" t="s">
        <v>5</v>
      </c>
      <c r="B18" s="131">
        <v>238.5</v>
      </c>
      <c r="D18" s="1" t="s">
        <v>5</v>
      </c>
      <c r="E18" s="131">
        <v>223</v>
      </c>
      <c r="G18" s="1" t="s">
        <v>5</v>
      </c>
      <c r="H18" s="131">
        <v>25</v>
      </c>
      <c r="J18" s="1" t="s">
        <v>5</v>
      </c>
      <c r="K18" s="131">
        <v>102</v>
      </c>
      <c r="M18" s="1" t="s">
        <v>5</v>
      </c>
      <c r="N18" s="131">
        <v>146</v>
      </c>
      <c r="P18" s="1" t="s">
        <v>5</v>
      </c>
      <c r="Q18" s="131">
        <v>148.1</v>
      </c>
      <c r="S18" s="1" t="s">
        <v>5</v>
      </c>
      <c r="T18" s="131">
        <f t="shared" si="1"/>
        <v>882.6</v>
      </c>
      <c r="U18" s="14"/>
    </row>
    <row r="19" spans="1:21" ht="15.75" x14ac:dyDescent="0.25">
      <c r="A19" s="1" t="s">
        <v>7</v>
      </c>
      <c r="B19" s="131">
        <v>230.4</v>
      </c>
      <c r="D19" s="1" t="s">
        <v>7</v>
      </c>
      <c r="E19" s="131">
        <v>356</v>
      </c>
      <c r="G19" s="1" t="s">
        <v>7</v>
      </c>
      <c r="H19" s="131">
        <v>16.7</v>
      </c>
      <c r="J19" s="1" t="s">
        <v>7</v>
      </c>
      <c r="K19" s="131">
        <v>105.1</v>
      </c>
      <c r="M19" s="1" t="s">
        <v>7</v>
      </c>
      <c r="N19" s="131">
        <v>218.6</v>
      </c>
      <c r="P19" s="1" t="s">
        <v>7</v>
      </c>
      <c r="Q19" s="131">
        <v>175.9</v>
      </c>
      <c r="S19" s="1" t="s">
        <v>7</v>
      </c>
      <c r="T19" s="131">
        <f t="shared" si="1"/>
        <v>1102.7</v>
      </c>
    </row>
    <row r="20" spans="1:21" ht="15.75" x14ac:dyDescent="0.25">
      <c r="A20" s="1" t="s">
        <v>8</v>
      </c>
      <c r="B20" s="131">
        <v>208.6</v>
      </c>
      <c r="D20" s="1" t="s">
        <v>8</v>
      </c>
      <c r="E20" s="131">
        <v>328</v>
      </c>
      <c r="G20" s="1" t="s">
        <v>8</v>
      </c>
      <c r="H20" s="131">
        <v>81.5</v>
      </c>
      <c r="J20" s="1" t="s">
        <v>8</v>
      </c>
      <c r="K20" s="131">
        <v>192</v>
      </c>
      <c r="M20" s="1" t="s">
        <v>8</v>
      </c>
      <c r="N20" s="131">
        <v>99</v>
      </c>
      <c r="P20" s="1" t="s">
        <v>8</v>
      </c>
      <c r="Q20" s="131">
        <v>70.400000000000006</v>
      </c>
      <c r="S20" s="1" t="s">
        <v>8</v>
      </c>
      <c r="T20" s="131">
        <f t="shared" si="1"/>
        <v>979.5</v>
      </c>
    </row>
    <row r="21" spans="1:21" ht="15.75" x14ac:dyDescent="0.25">
      <c r="A21" s="1" t="s">
        <v>9</v>
      </c>
      <c r="B21" s="131">
        <v>192.4</v>
      </c>
      <c r="D21" s="1" t="s">
        <v>9</v>
      </c>
      <c r="E21" s="131">
        <v>420.6</v>
      </c>
      <c r="G21" s="1" t="s">
        <v>9</v>
      </c>
      <c r="H21" s="131">
        <v>84.5</v>
      </c>
      <c r="J21" s="1" t="s">
        <v>9</v>
      </c>
      <c r="K21" s="131">
        <v>157.5</v>
      </c>
      <c r="M21" s="1" t="s">
        <v>9</v>
      </c>
      <c r="N21" s="131">
        <v>197.5</v>
      </c>
      <c r="P21" s="1" t="s">
        <v>9</v>
      </c>
      <c r="Q21" s="131">
        <v>210.5</v>
      </c>
      <c r="S21" s="1" t="s">
        <v>9</v>
      </c>
      <c r="T21" s="131">
        <f t="shared" si="1"/>
        <v>1263</v>
      </c>
    </row>
    <row r="22" spans="1:21" ht="15.75" x14ac:dyDescent="0.25">
      <c r="A22" s="1" t="s">
        <v>10</v>
      </c>
      <c r="B22" s="131">
        <v>203.2</v>
      </c>
      <c r="D22" s="1" t="s">
        <v>10</v>
      </c>
      <c r="E22" s="131">
        <v>417.7</v>
      </c>
      <c r="G22" s="1" t="s">
        <v>10</v>
      </c>
      <c r="H22" s="131">
        <v>87.5</v>
      </c>
      <c r="J22" s="1" t="s">
        <v>10</v>
      </c>
      <c r="K22" s="131">
        <v>182.3</v>
      </c>
      <c r="M22" s="1" t="s">
        <v>10</v>
      </c>
      <c r="N22" s="131">
        <v>133.4</v>
      </c>
      <c r="P22" s="1" t="s">
        <v>10</v>
      </c>
      <c r="Q22" s="131">
        <v>156.19999999999999</v>
      </c>
      <c r="S22" s="1" t="s">
        <v>10</v>
      </c>
      <c r="T22" s="131">
        <f t="shared" si="1"/>
        <v>1180.3000000000002</v>
      </c>
    </row>
    <row r="23" spans="1:21" ht="15.75" x14ac:dyDescent="0.25">
      <c r="A23" s="1" t="s">
        <v>11</v>
      </c>
      <c r="B23" s="131">
        <v>218.3</v>
      </c>
      <c r="D23" s="1" t="s">
        <v>11</v>
      </c>
      <c r="E23" s="131">
        <v>505.9</v>
      </c>
      <c r="G23" s="1" t="s">
        <v>11</v>
      </c>
      <c r="H23" s="131">
        <v>64.5</v>
      </c>
      <c r="J23" s="1" t="s">
        <v>11</v>
      </c>
      <c r="K23" s="131">
        <v>186</v>
      </c>
      <c r="M23" s="1" t="s">
        <v>11</v>
      </c>
      <c r="N23" s="131">
        <v>180.7</v>
      </c>
      <c r="P23" s="1" t="s">
        <v>11</v>
      </c>
      <c r="Q23" s="131">
        <v>178.9</v>
      </c>
      <c r="S23" s="1" t="s">
        <v>11</v>
      </c>
      <c r="T23" s="131">
        <f t="shared" si="1"/>
        <v>1334.3000000000002</v>
      </c>
    </row>
    <row r="24" spans="1:21" ht="15.75" x14ac:dyDescent="0.25">
      <c r="A24" s="1" t="s">
        <v>12</v>
      </c>
      <c r="B24" s="131">
        <v>184</v>
      </c>
      <c r="D24" s="1" t="s">
        <v>12</v>
      </c>
      <c r="E24" s="131">
        <v>432.2</v>
      </c>
      <c r="G24" s="1" t="s">
        <v>12</v>
      </c>
      <c r="H24" s="131">
        <v>56</v>
      </c>
      <c r="J24" s="1" t="s">
        <v>12</v>
      </c>
      <c r="K24" s="131">
        <v>150.4</v>
      </c>
      <c r="M24" s="1" t="s">
        <v>12</v>
      </c>
      <c r="N24" s="131">
        <v>112.5</v>
      </c>
      <c r="P24" s="1" t="s">
        <v>12</v>
      </c>
      <c r="Q24" s="131">
        <v>181.8</v>
      </c>
      <c r="S24" s="1" t="s">
        <v>12</v>
      </c>
      <c r="T24" s="131">
        <f t="shared" si="1"/>
        <v>1116.9000000000001</v>
      </c>
    </row>
    <row r="25" spans="1:21" ht="15.75" x14ac:dyDescent="0.25">
      <c r="A25" s="1" t="s">
        <v>13</v>
      </c>
      <c r="B25" s="131">
        <v>203.7</v>
      </c>
      <c r="D25" s="1" t="s">
        <v>13</v>
      </c>
      <c r="E25" s="131">
        <v>424.8</v>
      </c>
      <c r="G25" s="1" t="s">
        <v>13</v>
      </c>
      <c r="H25" s="131">
        <v>88.7</v>
      </c>
      <c r="J25" s="1" t="s">
        <v>13</v>
      </c>
      <c r="K25" s="131">
        <v>181.9</v>
      </c>
      <c r="M25" s="1" t="s">
        <v>13</v>
      </c>
      <c r="N25" s="131">
        <v>151.9</v>
      </c>
      <c r="P25" s="1" t="s">
        <v>13</v>
      </c>
      <c r="Q25" s="131">
        <v>175.5</v>
      </c>
      <c r="S25" s="1" t="s">
        <v>13</v>
      </c>
      <c r="T25" s="131">
        <f t="shared" si="1"/>
        <v>1226.5</v>
      </c>
    </row>
    <row r="26" spans="1:21" ht="15.75" x14ac:dyDescent="0.25">
      <c r="A26" s="1" t="s">
        <v>14</v>
      </c>
      <c r="B26" s="131">
        <v>199.1</v>
      </c>
      <c r="D26" s="1" t="s">
        <v>14</v>
      </c>
      <c r="E26" s="131">
        <v>455.7</v>
      </c>
      <c r="G26" s="1" t="s">
        <v>14</v>
      </c>
      <c r="H26" s="131">
        <v>99.2</v>
      </c>
      <c r="J26" s="1" t="s">
        <v>14</v>
      </c>
      <c r="K26" s="131">
        <v>185.7</v>
      </c>
      <c r="M26" s="1" t="s">
        <v>14</v>
      </c>
      <c r="N26" s="131">
        <v>209.36200000000002</v>
      </c>
      <c r="P26" s="1" t="s">
        <v>14</v>
      </c>
      <c r="Q26" s="131">
        <v>143</v>
      </c>
      <c r="S26" s="1" t="s">
        <v>14</v>
      </c>
      <c r="T26" s="131">
        <f t="shared" si="1"/>
        <v>1292.0620000000001</v>
      </c>
    </row>
    <row r="27" spans="1:21" ht="15.75" x14ac:dyDescent="0.25">
      <c r="A27" s="1" t="s">
        <v>15</v>
      </c>
      <c r="B27" s="131">
        <v>240.05500000000001</v>
      </c>
      <c r="D27" s="1" t="s">
        <v>15</v>
      </c>
      <c r="E27" s="131">
        <v>551</v>
      </c>
      <c r="G27" s="1" t="s">
        <v>15</v>
      </c>
      <c r="H27" s="131">
        <v>85.2</v>
      </c>
      <c r="J27" s="1" t="s">
        <v>15</v>
      </c>
      <c r="K27" s="131">
        <v>154.76585300475915</v>
      </c>
      <c r="M27" s="1" t="s">
        <v>15</v>
      </c>
      <c r="N27" s="131">
        <v>186.096</v>
      </c>
      <c r="P27" s="1" t="s">
        <v>15</v>
      </c>
      <c r="Q27" s="131">
        <v>145.6</v>
      </c>
      <c r="S27" s="1" t="s">
        <v>15</v>
      </c>
      <c r="T27" s="131">
        <f t="shared" si="1"/>
        <v>1362.7168530047593</v>
      </c>
    </row>
    <row r="28" spans="1:21" ht="15.75" x14ac:dyDescent="0.25">
      <c r="A28" s="1" t="s">
        <v>16</v>
      </c>
      <c r="B28" s="131">
        <v>217.249</v>
      </c>
      <c r="D28" s="1" t="s">
        <v>16</v>
      </c>
      <c r="E28" s="131">
        <v>497.24234887</v>
      </c>
      <c r="G28" s="1" t="s">
        <v>16</v>
      </c>
      <c r="H28" s="131">
        <v>64.608261779999992</v>
      </c>
      <c r="J28" s="1" t="s">
        <v>16</v>
      </c>
      <c r="K28" s="131">
        <v>219.70611789333333</v>
      </c>
      <c r="M28" s="1" t="s">
        <v>16</v>
      </c>
      <c r="N28" s="131">
        <v>122.60937620666667</v>
      </c>
      <c r="P28" s="1" t="s">
        <v>16</v>
      </c>
      <c r="Q28" s="131">
        <v>154.33915753845915</v>
      </c>
      <c r="S28" s="1" t="s">
        <v>16</v>
      </c>
      <c r="T28" s="131">
        <f t="shared" si="1"/>
        <v>1275.7542622884591</v>
      </c>
    </row>
    <row r="29" spans="1:21" ht="15.75" x14ac:dyDescent="0.25">
      <c r="A29" s="1" t="s">
        <v>17</v>
      </c>
      <c r="B29" s="131">
        <v>198.94600818414324</v>
      </c>
      <c r="D29" s="1" t="s">
        <v>17</v>
      </c>
      <c r="E29" s="131">
        <v>495.33312824444442</v>
      </c>
      <c r="G29" s="1" t="s">
        <v>17</v>
      </c>
      <c r="H29" s="131">
        <v>92.420406</v>
      </c>
      <c r="J29" s="1" t="s">
        <v>17</v>
      </c>
      <c r="K29" s="131">
        <v>234.42017517496259</v>
      </c>
      <c r="M29" s="1" t="s">
        <v>17</v>
      </c>
      <c r="N29" s="131">
        <v>183.92577554000002</v>
      </c>
      <c r="P29" s="1" t="s">
        <v>17</v>
      </c>
      <c r="Q29" s="131">
        <v>179.31654926009872</v>
      </c>
      <c r="S29" s="1" t="s">
        <v>17</v>
      </c>
      <c r="T29" s="131">
        <f t="shared" si="1"/>
        <v>1384.362042403649</v>
      </c>
    </row>
    <row r="30" spans="1:21" ht="15.75" x14ac:dyDescent="0.25">
      <c r="A30" s="1" t="s">
        <v>18</v>
      </c>
      <c r="B30" s="131">
        <v>189.45516251171185</v>
      </c>
      <c r="D30" s="1" t="s">
        <v>18</v>
      </c>
      <c r="E30" s="131">
        <v>517.64809545000003</v>
      </c>
      <c r="G30" s="1" t="s">
        <v>18</v>
      </c>
      <c r="H30" s="131">
        <v>89.676000000000002</v>
      </c>
      <c r="J30" s="1" t="s">
        <v>18</v>
      </c>
      <c r="K30" s="131">
        <v>240.79825382775289</v>
      </c>
      <c r="M30" s="1" t="s">
        <v>18</v>
      </c>
      <c r="N30" s="131">
        <v>156.80041980000001</v>
      </c>
      <c r="P30" s="1" t="s">
        <v>18</v>
      </c>
      <c r="Q30" s="131">
        <v>176.69395609175632</v>
      </c>
      <c r="S30" s="1" t="s">
        <v>18</v>
      </c>
      <c r="T30" s="131">
        <f t="shared" si="1"/>
        <v>1371.0718876812211</v>
      </c>
    </row>
    <row r="31" spans="1:21" ht="15.75" x14ac:dyDescent="0.25">
      <c r="A31" s="1" t="s">
        <v>19</v>
      </c>
      <c r="B31" s="131">
        <v>207.8711808951407</v>
      </c>
      <c r="D31" s="1" t="s">
        <v>19</v>
      </c>
      <c r="E31" s="131">
        <v>538.55444444444436</v>
      </c>
      <c r="G31" s="1" t="s">
        <v>19</v>
      </c>
      <c r="H31" s="131">
        <v>116.72</v>
      </c>
      <c r="J31" s="1" t="s">
        <v>19</v>
      </c>
      <c r="K31" s="131">
        <v>182.6131943810862</v>
      </c>
      <c r="M31" s="1" t="s">
        <v>19</v>
      </c>
      <c r="N31" s="131">
        <v>246.41276199999999</v>
      </c>
      <c r="P31" s="1" t="s">
        <v>19</v>
      </c>
      <c r="Q31" s="131">
        <v>174.45016725156651</v>
      </c>
      <c r="S31" s="1" t="s">
        <v>19</v>
      </c>
      <c r="T31" s="131">
        <f t="shared" si="1"/>
        <v>1466.6217489722376</v>
      </c>
    </row>
    <row r="32" spans="1:21" ht="15.75" x14ac:dyDescent="0.25">
      <c r="A32" s="1" t="s">
        <v>20</v>
      </c>
      <c r="B32" s="131">
        <v>220.16817800000001</v>
      </c>
      <c r="D32" s="1" t="s">
        <v>20</v>
      </c>
      <c r="E32" s="131">
        <v>550.09125786000004</v>
      </c>
      <c r="G32" s="1" t="s">
        <v>20</v>
      </c>
      <c r="H32" s="131">
        <v>76.092843680000001</v>
      </c>
      <c r="J32" s="1" t="s">
        <v>20</v>
      </c>
      <c r="K32" s="131">
        <v>348.21507138733335</v>
      </c>
      <c r="M32" s="1" t="s">
        <v>20</v>
      </c>
      <c r="N32" s="131">
        <v>100.75722326000002</v>
      </c>
      <c r="P32" s="1" t="s">
        <v>20</v>
      </c>
      <c r="Q32" s="131">
        <v>143.33182311818095</v>
      </c>
      <c r="S32" s="1" t="s">
        <v>20</v>
      </c>
      <c r="T32" s="131">
        <f t="shared" si="1"/>
        <v>1438.6563973055142</v>
      </c>
    </row>
    <row r="33" spans="1:20" ht="15.75" x14ac:dyDescent="0.25">
      <c r="A33" s="1" t="s">
        <v>21</v>
      </c>
      <c r="B33" s="131">
        <v>188.1890081841432</v>
      </c>
      <c r="D33" s="1" t="s">
        <v>21</v>
      </c>
      <c r="E33" s="131">
        <v>531.36777113000005</v>
      </c>
      <c r="G33" s="1" t="s">
        <v>21</v>
      </c>
      <c r="H33" s="131">
        <v>80.33847643</v>
      </c>
      <c r="J33" s="1" t="s">
        <v>21</v>
      </c>
      <c r="K33" s="131">
        <v>285.58969679653751</v>
      </c>
      <c r="M33" s="1" t="s">
        <v>21</v>
      </c>
      <c r="N33" s="131">
        <v>134.4182812</v>
      </c>
      <c r="P33" s="1" t="s">
        <v>21</v>
      </c>
      <c r="Q33" s="131">
        <v>218.55910040910348</v>
      </c>
      <c r="S33" s="1" t="s">
        <v>21</v>
      </c>
      <c r="T33" s="131">
        <f t="shared" si="1"/>
        <v>1438.4623341497841</v>
      </c>
    </row>
    <row r="34" spans="1:20" ht="15.75" x14ac:dyDescent="0.25">
      <c r="A34" s="1" t="s">
        <v>22</v>
      </c>
      <c r="B34" s="131">
        <v>213.81923580562665</v>
      </c>
      <c r="D34" s="1" t="s">
        <v>22</v>
      </c>
      <c r="E34" s="131">
        <v>570.88022868999997</v>
      </c>
      <c r="G34" s="1" t="s">
        <v>22</v>
      </c>
      <c r="H34" s="131">
        <v>90.418412560000007</v>
      </c>
      <c r="J34" s="1" t="s">
        <v>22</v>
      </c>
      <c r="K34" s="131">
        <v>289.37433555852499</v>
      </c>
      <c r="M34" s="1" t="s">
        <v>22</v>
      </c>
      <c r="N34" s="131">
        <v>221.87834268</v>
      </c>
      <c r="P34" s="1" t="s">
        <v>22</v>
      </c>
      <c r="Q34" s="131">
        <v>174.68644262828218</v>
      </c>
      <c r="S34" s="1" t="s">
        <v>22</v>
      </c>
      <c r="T34" s="131">
        <f t="shared" si="1"/>
        <v>1561.0569979224338</v>
      </c>
    </row>
    <row r="35" spans="1:20" ht="15.75" x14ac:dyDescent="0.25">
      <c r="A35" s="1" t="s">
        <v>23</v>
      </c>
      <c r="B35" s="131">
        <v>233.06799999999998</v>
      </c>
      <c r="D35" s="1" t="s">
        <v>23</v>
      </c>
      <c r="E35" s="131">
        <v>646.66761493555555</v>
      </c>
      <c r="G35" s="1" t="s">
        <v>23</v>
      </c>
      <c r="H35" s="131">
        <v>108.33236861</v>
      </c>
      <c r="J35" s="1" t="s">
        <v>23</v>
      </c>
      <c r="K35" s="131">
        <v>287.88093174435835</v>
      </c>
      <c r="M35" s="1" t="s">
        <v>23</v>
      </c>
      <c r="N35" s="131">
        <v>371.57363672999998</v>
      </c>
      <c r="P35" s="1" t="s">
        <v>23</v>
      </c>
      <c r="Q35" s="131">
        <v>146.3829748864523</v>
      </c>
      <c r="S35" s="1" t="s">
        <v>23</v>
      </c>
      <c r="T35" s="131">
        <f t="shared" si="1"/>
        <v>1793.905526906366</v>
      </c>
    </row>
    <row r="36" spans="1:20" ht="15.75" x14ac:dyDescent="0.25">
      <c r="A36" s="1" t="s">
        <v>24</v>
      </c>
      <c r="B36" s="131">
        <v>221.184</v>
      </c>
      <c r="D36" s="1" t="s">
        <v>24</v>
      </c>
      <c r="E36" s="131">
        <v>579.47309560000008</v>
      </c>
      <c r="G36" s="1" t="s">
        <v>24</v>
      </c>
      <c r="H36" s="131">
        <v>84.283725109999992</v>
      </c>
      <c r="J36" s="1" t="s">
        <v>24</v>
      </c>
      <c r="K36" s="131">
        <v>253.2</v>
      </c>
      <c r="M36" s="1" t="s">
        <v>24</v>
      </c>
      <c r="N36" s="131">
        <v>135.26247962333332</v>
      </c>
      <c r="P36" s="1" t="s">
        <v>24</v>
      </c>
      <c r="Q36" s="131">
        <v>205</v>
      </c>
      <c r="S36" s="1" t="s">
        <v>24</v>
      </c>
      <c r="T36" s="131">
        <f t="shared" si="1"/>
        <v>1478.4033003333334</v>
      </c>
    </row>
    <row r="37" spans="1:20" ht="15.75" x14ac:dyDescent="0.25">
      <c r="A37" s="1" t="s">
        <v>25</v>
      </c>
      <c r="B37" s="131">
        <v>246.9160040920716</v>
      </c>
      <c r="D37" s="1" t="s">
        <v>25</v>
      </c>
      <c r="E37" s="131">
        <v>604.70883500000002</v>
      </c>
      <c r="G37" s="1" t="s">
        <v>25</v>
      </c>
      <c r="H37" s="131">
        <v>104.23266520999999</v>
      </c>
      <c r="J37" s="1" t="s">
        <v>25</v>
      </c>
      <c r="K37" s="131">
        <v>380.8</v>
      </c>
      <c r="M37" s="1" t="s">
        <v>25</v>
      </c>
      <c r="N37" s="131">
        <v>166.61219793333333</v>
      </c>
      <c r="P37" s="1" t="s">
        <v>25</v>
      </c>
      <c r="Q37" s="131">
        <v>217.4675</v>
      </c>
      <c r="S37" s="1" t="s">
        <v>25</v>
      </c>
      <c r="T37" s="131">
        <f t="shared" si="1"/>
        <v>1720.737202235405</v>
      </c>
    </row>
    <row r="38" spans="1:20" ht="15.75" x14ac:dyDescent="0.25">
      <c r="A38" s="1" t="s">
        <v>26</v>
      </c>
      <c r="B38" s="131">
        <v>245.68916251171186</v>
      </c>
      <c r="D38" s="1" t="s">
        <v>26</v>
      </c>
      <c r="E38" s="131">
        <v>640.79200771000001</v>
      </c>
      <c r="G38" s="1" t="s">
        <v>26</v>
      </c>
      <c r="H38" s="131">
        <v>104.49938142000001</v>
      </c>
      <c r="J38" s="1" t="s">
        <v>26</v>
      </c>
      <c r="K38" s="131">
        <v>315.87447104435847</v>
      </c>
      <c r="M38" s="1" t="s">
        <v>26</v>
      </c>
      <c r="N38" s="131">
        <v>160.74997547666669</v>
      </c>
      <c r="P38" s="1" t="s">
        <v>26</v>
      </c>
      <c r="Q38" s="131">
        <v>211.2</v>
      </c>
      <c r="S38" s="1" t="s">
        <v>26</v>
      </c>
      <c r="T38" s="131">
        <f t="shared" si="1"/>
        <v>1678.8049981627371</v>
      </c>
    </row>
    <row r="39" spans="1:20" ht="15.75" x14ac:dyDescent="0.25">
      <c r="A39" s="1" t="s">
        <v>27</v>
      </c>
      <c r="B39" s="131">
        <v>227.97525649514063</v>
      </c>
      <c r="D39" s="1" t="s">
        <v>27</v>
      </c>
      <c r="E39" s="131">
        <v>757.73599609000007</v>
      </c>
      <c r="G39" s="1" t="s">
        <v>27</v>
      </c>
      <c r="H39" s="131">
        <v>165.4446920899</v>
      </c>
      <c r="J39" s="1" t="s">
        <v>27</v>
      </c>
      <c r="K39" s="131">
        <v>410.43490837546955</v>
      </c>
      <c r="M39" s="1" t="s">
        <v>27</v>
      </c>
      <c r="N39" s="131">
        <v>366.73565760333338</v>
      </c>
      <c r="P39" s="1" t="s">
        <v>27</v>
      </c>
      <c r="Q39" s="131">
        <v>206</v>
      </c>
      <c r="S39" s="1" t="s">
        <v>27</v>
      </c>
      <c r="T39" s="131">
        <f t="shared" si="1"/>
        <v>2134.3265106538438</v>
      </c>
    </row>
    <row r="40" spans="1:20" ht="15.75" x14ac:dyDescent="0.25">
      <c r="A40" s="1" t="s">
        <v>28</v>
      </c>
      <c r="B40" s="131">
        <v>231.85900000000001</v>
      </c>
      <c r="D40" s="1" t="s">
        <v>28</v>
      </c>
      <c r="E40" s="131">
        <v>652.51102004999996</v>
      </c>
      <c r="G40" s="1" t="s">
        <v>28</v>
      </c>
      <c r="H40" s="131">
        <v>71.553487520000004</v>
      </c>
      <c r="J40" s="1" t="s">
        <v>28</v>
      </c>
      <c r="K40" s="131">
        <v>270.89482475464166</v>
      </c>
      <c r="M40" s="1" t="s">
        <v>28</v>
      </c>
      <c r="N40" s="131">
        <v>261.75512826721274</v>
      </c>
      <c r="P40" s="1" t="s">
        <v>28</v>
      </c>
      <c r="Q40" s="131">
        <v>214.95015663500004</v>
      </c>
      <c r="S40" s="1" t="s">
        <v>28</v>
      </c>
      <c r="T40" s="131">
        <f t="shared" si="1"/>
        <v>1703.5236172268544</v>
      </c>
    </row>
    <row r="41" spans="1:20" ht="15.75" x14ac:dyDescent="0.25">
      <c r="A41" s="1" t="s">
        <v>29</v>
      </c>
      <c r="B41" s="131">
        <v>210.93</v>
      </c>
      <c r="D41" s="1" t="s">
        <v>29</v>
      </c>
      <c r="E41" s="131">
        <v>668.48898413000006</v>
      </c>
      <c r="G41" s="1" t="s">
        <v>29</v>
      </c>
      <c r="H41" s="131">
        <v>95.454524829999997</v>
      </c>
      <c r="J41" s="1" t="s">
        <v>29</v>
      </c>
      <c r="K41" s="131">
        <v>339.10921807902366</v>
      </c>
      <c r="M41" s="1" t="s">
        <v>29</v>
      </c>
      <c r="N41" s="131">
        <v>394.84461397383336</v>
      </c>
      <c r="P41" s="1" t="s">
        <v>29</v>
      </c>
      <c r="Q41" s="131">
        <v>227.35605736500003</v>
      </c>
      <c r="S41" s="1" t="s">
        <v>29</v>
      </c>
      <c r="T41" s="131">
        <f t="shared" si="1"/>
        <v>1936.1833983778572</v>
      </c>
    </row>
    <row r="42" spans="1:20" ht="15.75" x14ac:dyDescent="0.25">
      <c r="A42" s="1" t="s">
        <v>30</v>
      </c>
      <c r="B42" s="131">
        <v>212.27</v>
      </c>
      <c r="D42" s="1" t="s">
        <v>30</v>
      </c>
      <c r="E42" s="131">
        <v>770.92405081799984</v>
      </c>
      <c r="G42" s="1" t="s">
        <v>30</v>
      </c>
      <c r="H42" s="131">
        <v>173.9177201</v>
      </c>
      <c r="J42" s="1" t="s">
        <v>30</v>
      </c>
      <c r="K42" s="131">
        <v>491.4734743293584</v>
      </c>
      <c r="M42" s="1" t="s">
        <v>30</v>
      </c>
      <c r="N42" s="131">
        <v>486.88987182916668</v>
      </c>
      <c r="P42" s="1" t="s">
        <v>30</v>
      </c>
      <c r="Q42" s="131">
        <v>242.32855001500005</v>
      </c>
      <c r="S42" s="1" t="s">
        <v>30</v>
      </c>
      <c r="T42" s="131">
        <f t="shared" si="1"/>
        <v>2377.8036670915249</v>
      </c>
    </row>
    <row r="43" spans="1:20" ht="15.75" x14ac:dyDescent="0.25">
      <c r="A43" s="1" t="s">
        <v>31</v>
      </c>
      <c r="B43" s="131">
        <v>259.435</v>
      </c>
      <c r="D43" s="1" t="s">
        <v>31</v>
      </c>
      <c r="E43" s="131">
        <v>822.01651216894038</v>
      </c>
      <c r="G43" s="1" t="s">
        <v>31</v>
      </c>
      <c r="H43" s="131">
        <v>196.48096810816662</v>
      </c>
      <c r="J43" s="1" t="s">
        <v>31</v>
      </c>
      <c r="K43" s="131">
        <v>531.80210182105009</v>
      </c>
      <c r="M43" s="1" t="s">
        <v>31</v>
      </c>
      <c r="N43" s="131">
        <v>528.29245398083333</v>
      </c>
      <c r="P43" s="1" t="s">
        <v>31</v>
      </c>
      <c r="Q43" s="131">
        <v>271.038164585</v>
      </c>
      <c r="S43" s="1" t="s">
        <v>31</v>
      </c>
      <c r="T43" s="131">
        <f t="shared" si="1"/>
        <v>2609.0652006639903</v>
      </c>
    </row>
    <row r="44" spans="1:20" ht="15.75" x14ac:dyDescent="0.25">
      <c r="A44" s="1" t="s">
        <v>32</v>
      </c>
      <c r="B44" s="131">
        <v>194.67600000000004</v>
      </c>
      <c r="D44" s="1" t="s">
        <v>32</v>
      </c>
      <c r="E44" s="131">
        <v>791.3811467999999</v>
      </c>
      <c r="G44" s="1" t="s">
        <v>32</v>
      </c>
      <c r="H44" s="131">
        <v>69.263985609999992</v>
      </c>
      <c r="J44" s="1" t="s">
        <v>32</v>
      </c>
      <c r="K44" s="131">
        <v>641.52262866767637</v>
      </c>
      <c r="M44" s="1" t="s">
        <v>32</v>
      </c>
      <c r="N44" s="131">
        <v>520.34220865999998</v>
      </c>
      <c r="P44" s="1" t="s">
        <v>32</v>
      </c>
      <c r="Q44" s="131">
        <v>416.45910035000003</v>
      </c>
      <c r="S44" s="1" t="s">
        <v>32</v>
      </c>
      <c r="T44" s="131">
        <f t="shared" ref="T44:T63" si="2">SUM(B44+E44+H44+K44+N44+Q44)</f>
        <v>2633.6450700876762</v>
      </c>
    </row>
    <row r="45" spans="1:20" ht="15.75" x14ac:dyDescent="0.25">
      <c r="A45" s="1" t="s">
        <v>33</v>
      </c>
      <c r="B45" s="131">
        <v>230.77800000000002</v>
      </c>
      <c r="D45" s="1" t="s">
        <v>33</v>
      </c>
      <c r="E45" s="131">
        <v>872.62224435999997</v>
      </c>
      <c r="G45" s="1" t="s">
        <v>33</v>
      </c>
      <c r="H45" s="131">
        <v>178.64562642000001</v>
      </c>
      <c r="J45" s="1" t="s">
        <v>33</v>
      </c>
      <c r="K45" s="131">
        <v>732.6486953242769</v>
      </c>
      <c r="M45" s="1" t="s">
        <v>33</v>
      </c>
      <c r="N45" s="131">
        <v>752.34626842800003</v>
      </c>
      <c r="P45" s="1" t="s">
        <v>33</v>
      </c>
      <c r="Q45" s="131">
        <v>452.48981564999997</v>
      </c>
      <c r="S45" s="1" t="s">
        <v>33</v>
      </c>
      <c r="T45" s="131">
        <f t="shared" si="2"/>
        <v>3219.5306501822765</v>
      </c>
    </row>
    <row r="46" spans="1:20" ht="15.75" x14ac:dyDescent="0.25">
      <c r="A46" s="1" t="s">
        <v>34</v>
      </c>
      <c r="B46" s="131">
        <v>172.71599999999998</v>
      </c>
      <c r="D46" s="1" t="s">
        <v>34</v>
      </c>
      <c r="E46" s="131">
        <v>978.98018695999986</v>
      </c>
      <c r="G46" s="1" t="s">
        <v>34</v>
      </c>
      <c r="H46" s="131">
        <v>263.24914538999997</v>
      </c>
      <c r="J46" s="1" t="s">
        <v>34</v>
      </c>
      <c r="K46" s="131">
        <v>744.7725676736527</v>
      </c>
      <c r="M46" s="1" t="s">
        <v>34</v>
      </c>
      <c r="N46" s="131">
        <v>1273.9995992000001</v>
      </c>
      <c r="P46" s="1" t="s">
        <v>34</v>
      </c>
      <c r="Q46" s="131">
        <v>312.94876038000001</v>
      </c>
      <c r="S46" s="1" t="s">
        <v>34</v>
      </c>
      <c r="T46" s="131">
        <f t="shared" si="2"/>
        <v>3746.6662596036522</v>
      </c>
    </row>
    <row r="47" spans="1:20" ht="15.75" x14ac:dyDescent="0.25">
      <c r="A47" s="1" t="s">
        <v>35</v>
      </c>
      <c r="B47" s="131">
        <v>198.756</v>
      </c>
      <c r="D47" s="1" t="s">
        <v>35</v>
      </c>
      <c r="E47" s="131">
        <v>1285.6241487735776</v>
      </c>
      <c r="G47" s="1" t="s">
        <v>35</v>
      </c>
      <c r="H47" s="131">
        <v>333.39583797556588</v>
      </c>
      <c r="J47" s="1" t="s">
        <v>35</v>
      </c>
      <c r="K47" s="131">
        <v>796.23814322991666</v>
      </c>
      <c r="M47" s="1" t="s">
        <v>35</v>
      </c>
      <c r="N47" s="131">
        <v>1761.2209392050563</v>
      </c>
      <c r="P47" s="1" t="s">
        <v>35</v>
      </c>
      <c r="Q47" s="131">
        <v>438.78460754980227</v>
      </c>
      <c r="S47" s="1" t="s">
        <v>35</v>
      </c>
      <c r="T47" s="131">
        <f t="shared" si="2"/>
        <v>4814.0196767339185</v>
      </c>
    </row>
    <row r="48" spans="1:20" ht="15.75" x14ac:dyDescent="0.25">
      <c r="A48" s="1" t="s">
        <v>36</v>
      </c>
      <c r="B48" s="131">
        <v>41.644999999999996</v>
      </c>
      <c r="D48" s="1" t="s">
        <v>36</v>
      </c>
      <c r="E48" s="131">
        <v>1090.30222723</v>
      </c>
      <c r="G48" s="1" t="s">
        <v>36</v>
      </c>
      <c r="H48" s="131">
        <v>126.17135820999999</v>
      </c>
      <c r="J48" s="1" t="s">
        <v>36</v>
      </c>
      <c r="K48" s="131">
        <v>613.27255869901762</v>
      </c>
      <c r="M48" s="1" t="s">
        <v>36</v>
      </c>
      <c r="N48" s="131">
        <v>476.89653397000001</v>
      </c>
      <c r="P48" s="1" t="s">
        <v>36</v>
      </c>
      <c r="Q48" s="131">
        <v>345.91430019000001</v>
      </c>
      <c r="S48" s="1" t="s">
        <v>36</v>
      </c>
      <c r="T48" s="131">
        <f t="shared" si="2"/>
        <v>2694.2019782990178</v>
      </c>
    </row>
    <row r="49" spans="1:27" ht="15.75" x14ac:dyDescent="0.25">
      <c r="A49" s="1" t="s">
        <v>37</v>
      </c>
      <c r="B49" s="131">
        <v>193.88099999999997</v>
      </c>
      <c r="D49" s="1" t="s">
        <v>37</v>
      </c>
      <c r="E49" s="131">
        <v>1044.9368248999999</v>
      </c>
      <c r="G49" s="1" t="s">
        <v>37</v>
      </c>
      <c r="H49" s="131">
        <v>236.85353773999998</v>
      </c>
      <c r="J49" s="1" t="s">
        <v>37</v>
      </c>
      <c r="K49" s="131">
        <v>713.38842639973223</v>
      </c>
      <c r="M49" s="1" t="s">
        <v>37</v>
      </c>
      <c r="N49" s="131">
        <v>720.58680769500006</v>
      </c>
      <c r="P49" s="1" t="s">
        <v>37</v>
      </c>
      <c r="Q49" s="131">
        <v>406.11944602999995</v>
      </c>
      <c r="S49" s="1" t="s">
        <v>37</v>
      </c>
      <c r="T49" s="131">
        <f t="shared" si="2"/>
        <v>3315.766042764732</v>
      </c>
    </row>
    <row r="50" spans="1:27" ht="15.75" x14ac:dyDescent="0.25">
      <c r="A50" s="1" t="s">
        <v>38</v>
      </c>
      <c r="B50" s="131">
        <v>53.025999999999996</v>
      </c>
      <c r="D50" s="1" t="s">
        <v>38</v>
      </c>
      <c r="E50" s="131">
        <v>1155.87071801</v>
      </c>
      <c r="G50" s="1" t="s">
        <v>38</v>
      </c>
      <c r="H50" s="131">
        <v>195.09083061000001</v>
      </c>
      <c r="J50" s="1" t="s">
        <v>38</v>
      </c>
      <c r="K50" s="131">
        <v>492.70974529000006</v>
      </c>
      <c r="M50" s="1" t="s">
        <v>38</v>
      </c>
      <c r="N50" s="131">
        <v>837.18334813000001</v>
      </c>
      <c r="P50" s="1" t="s">
        <v>38</v>
      </c>
      <c r="Q50" s="131">
        <v>492.70974529000006</v>
      </c>
      <c r="S50" s="1" t="s">
        <v>38</v>
      </c>
      <c r="T50" s="131">
        <f t="shared" si="2"/>
        <v>3226.5903873300003</v>
      </c>
    </row>
    <row r="51" spans="1:27" ht="15.75" x14ac:dyDescent="0.25">
      <c r="A51" s="1" t="s">
        <v>39</v>
      </c>
      <c r="B51" s="131">
        <v>185.54399999999998</v>
      </c>
      <c r="D51" s="1" t="s">
        <v>39</v>
      </c>
      <c r="E51" s="131">
        <v>1416.7191809999999</v>
      </c>
      <c r="G51" s="1" t="s">
        <v>39</v>
      </c>
      <c r="H51" s="131">
        <v>265.87513849999999</v>
      </c>
      <c r="J51" s="1" t="s">
        <v>39</v>
      </c>
      <c r="K51" s="131">
        <v>510.28868153000002</v>
      </c>
      <c r="M51" s="1" t="s">
        <v>39</v>
      </c>
      <c r="N51" s="131">
        <v>1472.4297063499998</v>
      </c>
      <c r="P51" s="1" t="s">
        <v>39</v>
      </c>
      <c r="Q51" s="131">
        <v>510.28868153000002</v>
      </c>
      <c r="S51" s="1" t="s">
        <v>39</v>
      </c>
      <c r="T51" s="131">
        <f t="shared" si="2"/>
        <v>4361.1453889099994</v>
      </c>
    </row>
    <row r="52" spans="1:27" ht="15.75" x14ac:dyDescent="0.25">
      <c r="A52" s="1" t="s">
        <v>40</v>
      </c>
      <c r="B52" s="131">
        <v>56.556000000000004</v>
      </c>
      <c r="D52" s="1" t="s">
        <v>40</v>
      </c>
      <c r="E52" s="131">
        <v>1379.1331038200001</v>
      </c>
      <c r="G52" s="1" t="s">
        <v>40</v>
      </c>
      <c r="H52" s="131">
        <v>162.35655073000001</v>
      </c>
      <c r="J52" s="1" t="s">
        <v>40</v>
      </c>
      <c r="K52" s="131">
        <v>371.84121065941321</v>
      </c>
      <c r="M52" s="1" t="s">
        <v>40</v>
      </c>
      <c r="N52" s="131">
        <v>428.94256413812752</v>
      </c>
      <c r="P52" s="1" t="s">
        <v>40</v>
      </c>
      <c r="Q52" s="131">
        <v>371.84121065941321</v>
      </c>
      <c r="S52" s="1" t="s">
        <v>40</v>
      </c>
      <c r="T52" s="131">
        <f t="shared" si="2"/>
        <v>2770.6706400069543</v>
      </c>
    </row>
    <row r="53" spans="1:27" ht="15.75" x14ac:dyDescent="0.25">
      <c r="A53" s="1" t="s">
        <v>41</v>
      </c>
      <c r="B53" s="131">
        <v>177.34800000000001</v>
      </c>
      <c r="D53" s="1" t="s">
        <v>41</v>
      </c>
      <c r="E53" s="131">
        <v>1347.1617220399999</v>
      </c>
      <c r="G53" s="1" t="s">
        <v>41</v>
      </c>
      <c r="H53" s="131">
        <v>250.99928506000003</v>
      </c>
      <c r="J53" s="1" t="s">
        <v>41</v>
      </c>
      <c r="K53" s="131">
        <v>669.82218737890855</v>
      </c>
      <c r="M53" s="1" t="s">
        <v>41</v>
      </c>
      <c r="N53" s="131">
        <v>1164.2103578010915</v>
      </c>
      <c r="P53" s="1" t="s">
        <v>41</v>
      </c>
      <c r="Q53" s="131">
        <v>669.82218737890855</v>
      </c>
      <c r="S53" s="1" t="s">
        <v>41</v>
      </c>
      <c r="T53" s="131">
        <f t="shared" si="2"/>
        <v>4279.3637396589083</v>
      </c>
    </row>
    <row r="54" spans="1:27" ht="15.75" x14ac:dyDescent="0.25">
      <c r="A54" s="1" t="s">
        <v>42</v>
      </c>
      <c r="B54" s="131">
        <v>66.960000000000008</v>
      </c>
      <c r="D54" s="1" t="s">
        <v>42</v>
      </c>
      <c r="E54" s="131">
        <v>1433.9515530900003</v>
      </c>
      <c r="G54" s="1" t="s">
        <v>42</v>
      </c>
      <c r="H54" s="131">
        <v>284.56858413999998</v>
      </c>
      <c r="J54" s="1" t="s">
        <v>42</v>
      </c>
      <c r="K54" s="131">
        <v>506.38943263103408</v>
      </c>
      <c r="M54" s="1" t="s">
        <v>42</v>
      </c>
      <c r="N54" s="131">
        <v>821.86351389914921</v>
      </c>
      <c r="P54" s="1" t="s">
        <v>42</v>
      </c>
      <c r="Q54" s="131">
        <v>735.12252879085077</v>
      </c>
      <c r="S54" s="1" t="s">
        <v>42</v>
      </c>
      <c r="T54" s="131">
        <f t="shared" si="2"/>
        <v>3848.8556125510349</v>
      </c>
    </row>
    <row r="55" spans="1:27" ht="15.75" x14ac:dyDescent="0.25">
      <c r="A55" s="1" t="s">
        <v>43</v>
      </c>
      <c r="B55" s="131">
        <v>228.92100000000002</v>
      </c>
      <c r="D55" s="1" t="s">
        <v>43</v>
      </c>
      <c r="E55" s="131">
        <v>1856.9252006500001</v>
      </c>
      <c r="G55" s="1" t="s">
        <v>43</v>
      </c>
      <c r="H55" s="131">
        <v>396.64432958000003</v>
      </c>
      <c r="J55" s="1" t="s">
        <v>43</v>
      </c>
      <c r="K55" s="131">
        <v>645.20439707944297</v>
      </c>
      <c r="M55" s="1" t="s">
        <v>43</v>
      </c>
      <c r="N55" s="131">
        <v>1481.0666630952978</v>
      </c>
      <c r="P55" s="1" t="s">
        <v>43</v>
      </c>
      <c r="Q55" s="131">
        <v>758.80523267470187</v>
      </c>
      <c r="S55" s="1" t="s">
        <v>43</v>
      </c>
      <c r="T55" s="131">
        <f t="shared" si="2"/>
        <v>5367.5668230794427</v>
      </c>
    </row>
    <row r="56" spans="1:27" ht="15.75" x14ac:dyDescent="0.25">
      <c r="A56" s="1" t="s">
        <v>44</v>
      </c>
      <c r="B56" s="131">
        <v>75.565336180000003</v>
      </c>
      <c r="D56" s="1" t="s">
        <v>44</v>
      </c>
      <c r="E56" s="131">
        <v>1378.4464452100001</v>
      </c>
      <c r="G56" s="1" t="s">
        <v>44</v>
      </c>
      <c r="H56" s="131">
        <v>212.86366128999998</v>
      </c>
      <c r="J56" s="1" t="s">
        <v>44</v>
      </c>
      <c r="K56" s="131">
        <v>441.74721263358424</v>
      </c>
      <c r="M56" s="1" t="s">
        <v>44</v>
      </c>
      <c r="N56" s="131">
        <v>1053.668728381143</v>
      </c>
      <c r="P56" s="1" t="s">
        <v>44</v>
      </c>
      <c r="Q56" s="131">
        <v>820.90202850000003</v>
      </c>
      <c r="S56" s="1" t="s">
        <v>44</v>
      </c>
      <c r="T56" s="131">
        <f t="shared" si="2"/>
        <v>3983.1934121947274</v>
      </c>
    </row>
    <row r="57" spans="1:27" ht="15.75" x14ac:dyDescent="0.25">
      <c r="A57" s="1" t="s">
        <v>45</v>
      </c>
      <c r="B57" s="131">
        <v>245.93057956999999</v>
      </c>
      <c r="D57" s="1" t="s">
        <v>45</v>
      </c>
      <c r="E57" s="131">
        <v>1602.2205792599998</v>
      </c>
      <c r="G57" s="1" t="s">
        <v>45</v>
      </c>
      <c r="H57" s="131">
        <v>323.98857555999996</v>
      </c>
      <c r="J57" s="1" t="s">
        <v>45</v>
      </c>
      <c r="K57" s="131">
        <v>465.3166453258799</v>
      </c>
      <c r="M57" s="1" t="s">
        <v>45</v>
      </c>
      <c r="N57" s="131">
        <v>1067.6959159411431</v>
      </c>
      <c r="P57" s="1" t="s">
        <v>45</v>
      </c>
      <c r="Q57" s="131">
        <v>725.97639866000009</v>
      </c>
      <c r="S57" s="1" t="s">
        <v>45</v>
      </c>
      <c r="T57" s="131">
        <f t="shared" si="2"/>
        <v>4431.1286943170235</v>
      </c>
    </row>
    <row r="58" spans="1:27" ht="15.75" x14ac:dyDescent="0.25">
      <c r="A58" s="1" t="s">
        <v>46</v>
      </c>
      <c r="B58" s="131">
        <v>78.68807867999999</v>
      </c>
      <c r="D58" s="1" t="s">
        <v>46</v>
      </c>
      <c r="E58" s="131">
        <v>1573.2811810000001</v>
      </c>
      <c r="G58" s="1" t="s">
        <v>46</v>
      </c>
      <c r="H58" s="131">
        <v>329.918699</v>
      </c>
      <c r="J58" s="1" t="s">
        <v>46</v>
      </c>
      <c r="K58" s="131">
        <v>484.51811268194797</v>
      </c>
      <c r="M58" s="1" t="s">
        <v>46</v>
      </c>
      <c r="N58" s="131">
        <v>1190.8645344832826</v>
      </c>
      <c r="P58" s="1" t="s">
        <v>46</v>
      </c>
      <c r="Q58" s="131">
        <v>637.31841066000004</v>
      </c>
      <c r="S58" s="1" t="s">
        <v>46</v>
      </c>
      <c r="T58" s="131">
        <f t="shared" si="2"/>
        <v>4294.5890165052306</v>
      </c>
    </row>
    <row r="59" spans="1:27" ht="15.75" x14ac:dyDescent="0.25">
      <c r="A59" s="1" t="s">
        <v>47</v>
      </c>
      <c r="B59" s="131">
        <v>272.81131935999997</v>
      </c>
      <c r="D59" s="1" t="s">
        <v>47</v>
      </c>
      <c r="E59" s="131">
        <v>1912.22381606</v>
      </c>
      <c r="G59" s="1" t="s">
        <v>47</v>
      </c>
      <c r="H59" s="131">
        <v>412.38315790000001</v>
      </c>
      <c r="J59" s="1" t="s">
        <v>47</v>
      </c>
      <c r="K59" s="131">
        <v>589.37086295111374</v>
      </c>
      <c r="M59" s="1" t="s">
        <v>47</v>
      </c>
      <c r="N59" s="131">
        <v>1896.5751344161954</v>
      </c>
      <c r="P59" s="1" t="s">
        <v>47</v>
      </c>
      <c r="Q59" s="131">
        <v>642.48056298999995</v>
      </c>
      <c r="S59" s="1" t="s">
        <v>47</v>
      </c>
      <c r="T59" s="131">
        <f t="shared" si="2"/>
        <v>5725.8448536773094</v>
      </c>
    </row>
    <row r="60" spans="1:27" ht="15.75" x14ac:dyDescent="0.25">
      <c r="A60" s="1" t="s">
        <v>48</v>
      </c>
      <c r="B60" s="131">
        <v>123.09562722</v>
      </c>
      <c r="D60" s="1" t="s">
        <v>48</v>
      </c>
      <c r="E60" s="131">
        <v>1658.7858430000001</v>
      </c>
      <c r="G60" s="1" t="s">
        <v>48</v>
      </c>
      <c r="H60" s="131">
        <v>275.969291</v>
      </c>
      <c r="J60" s="1" t="s">
        <v>48</v>
      </c>
      <c r="K60" s="131">
        <v>481.11564502774354</v>
      </c>
      <c r="M60" s="1" t="s">
        <v>48</v>
      </c>
      <c r="N60" s="131">
        <v>1383.1164192700003</v>
      </c>
      <c r="P60" s="1" t="s">
        <v>48</v>
      </c>
      <c r="Q60" s="131">
        <v>729.05667973599998</v>
      </c>
      <c r="S60" s="1" t="s">
        <v>48</v>
      </c>
      <c r="T60" s="131">
        <f t="shared" si="2"/>
        <v>4651.1395052537437</v>
      </c>
    </row>
    <row r="61" spans="1:27" ht="15.75" x14ac:dyDescent="0.25">
      <c r="A61" s="1" t="s">
        <v>49</v>
      </c>
      <c r="B61" s="131">
        <v>270.14003498</v>
      </c>
      <c r="D61" s="1" t="s">
        <v>49</v>
      </c>
      <c r="E61" s="131">
        <v>1642.977112</v>
      </c>
      <c r="G61" s="1" t="s">
        <v>49</v>
      </c>
      <c r="H61" s="131">
        <v>406.47404500000005</v>
      </c>
      <c r="J61" s="1" t="s">
        <v>49</v>
      </c>
      <c r="K61" s="131">
        <v>496.86018595608795</v>
      </c>
      <c r="M61" s="1" t="s">
        <v>49</v>
      </c>
      <c r="N61" s="131">
        <v>1394.9457139900001</v>
      </c>
      <c r="P61" s="1" t="s">
        <v>49</v>
      </c>
      <c r="Q61" s="131">
        <v>778.49504751000006</v>
      </c>
      <c r="S61" s="1" t="s">
        <v>49</v>
      </c>
      <c r="T61" s="131">
        <f t="shared" si="2"/>
        <v>4989.8921394360887</v>
      </c>
    </row>
    <row r="62" spans="1:27" ht="15.75" x14ac:dyDescent="0.25">
      <c r="A62" s="1" t="s">
        <v>50</v>
      </c>
      <c r="B62" s="131">
        <v>116.95403501853411</v>
      </c>
      <c r="D62" s="1" t="s">
        <v>50</v>
      </c>
      <c r="E62" s="131">
        <v>1777.153918</v>
      </c>
      <c r="G62" s="1" t="s">
        <v>50</v>
      </c>
      <c r="H62" s="131">
        <v>399.717623</v>
      </c>
      <c r="J62" s="1" t="s">
        <v>50</v>
      </c>
      <c r="K62" s="131">
        <v>559.95396653997477</v>
      </c>
      <c r="M62" s="1" t="s">
        <v>50</v>
      </c>
      <c r="N62" s="131">
        <v>1332.1285664500001</v>
      </c>
      <c r="P62" s="1" t="s">
        <v>50</v>
      </c>
      <c r="Q62" s="131">
        <v>712.79685718000007</v>
      </c>
      <c r="S62" s="1" t="s">
        <v>50</v>
      </c>
      <c r="T62" s="131">
        <f t="shared" si="2"/>
        <v>4898.7049661885094</v>
      </c>
    </row>
    <row r="63" spans="1:27" ht="15.75" x14ac:dyDescent="0.25">
      <c r="A63" s="1" t="s">
        <v>51</v>
      </c>
      <c r="B63" s="131">
        <v>317.69983746596711</v>
      </c>
      <c r="D63" s="22" t="s">
        <v>51</v>
      </c>
      <c r="E63" s="131">
        <v>2274.0091590000002</v>
      </c>
      <c r="G63" s="22" t="s">
        <v>51</v>
      </c>
      <c r="H63" s="131">
        <v>575.39813000000004</v>
      </c>
      <c r="J63" s="42" t="s">
        <v>51</v>
      </c>
      <c r="K63" s="131">
        <v>589.06781752826612</v>
      </c>
      <c r="M63" s="43" t="s">
        <v>51</v>
      </c>
      <c r="N63" s="131">
        <v>2099.1960259534712</v>
      </c>
      <c r="P63" s="22" t="s">
        <v>51</v>
      </c>
      <c r="Q63" s="131">
        <v>830.44549112000004</v>
      </c>
      <c r="S63" s="22" t="s">
        <v>51</v>
      </c>
      <c r="T63" s="131">
        <f t="shared" si="2"/>
        <v>6685.816461067704</v>
      </c>
      <c r="X63" s="107"/>
      <c r="Y63" s="107"/>
      <c r="Z63" s="107"/>
      <c r="AA63" s="107"/>
    </row>
    <row r="64" spans="1:27" ht="15.75" x14ac:dyDescent="0.25">
      <c r="A64" s="1" t="s">
        <v>127</v>
      </c>
      <c r="B64" s="131">
        <v>166.9684764920772</v>
      </c>
      <c r="D64" s="1" t="s">
        <v>127</v>
      </c>
      <c r="E64" s="131">
        <v>1806.783091</v>
      </c>
      <c r="G64" s="1" t="s">
        <v>127</v>
      </c>
      <c r="H64" s="131">
        <v>350.57215399999995</v>
      </c>
      <c r="I64" s="13"/>
      <c r="J64" s="1" t="s">
        <v>127</v>
      </c>
      <c r="K64" s="131">
        <v>782.32317683999997</v>
      </c>
      <c r="L64" s="13"/>
      <c r="M64" s="1" t="s">
        <v>127</v>
      </c>
      <c r="N64" s="131">
        <v>1470.3290334799999</v>
      </c>
      <c r="P64" s="1" t="s">
        <v>127</v>
      </c>
      <c r="Q64" s="131">
        <v>708.69734175000008</v>
      </c>
      <c r="S64" s="1" t="s">
        <v>127</v>
      </c>
      <c r="T64" s="131">
        <f>SUM(B64+E64+H64+K64+N64+Q64)</f>
        <v>5285.6732735620781</v>
      </c>
    </row>
    <row r="65" spans="1:29" ht="15.75" x14ac:dyDescent="0.25">
      <c r="A65" s="1" t="s">
        <v>130</v>
      </c>
      <c r="B65" s="131">
        <v>405.64505352772835</v>
      </c>
      <c r="D65" s="1" t="s">
        <v>130</v>
      </c>
      <c r="E65" s="131">
        <v>1774.9109189999997</v>
      </c>
      <c r="G65" s="1" t="s">
        <v>130</v>
      </c>
      <c r="H65" s="131">
        <v>514.31206799999995</v>
      </c>
      <c r="I65" s="14"/>
      <c r="J65" s="1" t="s">
        <v>130</v>
      </c>
      <c r="K65" s="131">
        <v>733.88238936999994</v>
      </c>
      <c r="L65" s="14"/>
      <c r="M65" s="1" t="s">
        <v>130</v>
      </c>
      <c r="N65" s="131">
        <v>1792.0829903700001</v>
      </c>
      <c r="O65" s="14"/>
      <c r="P65" s="1" t="s">
        <v>130</v>
      </c>
      <c r="Q65" s="131">
        <v>655.05025978999993</v>
      </c>
      <c r="R65" s="14"/>
      <c r="S65" s="1" t="s">
        <v>130</v>
      </c>
      <c r="T65" s="131">
        <f t="shared" ref="T65:T74" si="3">SUM(B65+E65+H65+K65+N65+Q65)</f>
        <v>5875.8836800577283</v>
      </c>
    </row>
    <row r="66" spans="1:29" ht="15.75" x14ac:dyDescent="0.25">
      <c r="A66" s="43" t="s">
        <v>137</v>
      </c>
      <c r="B66" s="131">
        <v>184.03584155483583</v>
      </c>
      <c r="D66" s="1" t="s">
        <v>137</v>
      </c>
      <c r="E66" s="131">
        <v>1925.7983610000001</v>
      </c>
      <c r="G66" s="43" t="s">
        <v>137</v>
      </c>
      <c r="H66" s="131">
        <v>481.15333611000005</v>
      </c>
      <c r="I66" s="14"/>
      <c r="J66" s="43" t="s">
        <v>137</v>
      </c>
      <c r="K66" s="131">
        <v>828.6469561142236</v>
      </c>
      <c r="L66" s="14"/>
      <c r="M66" s="43" t="s">
        <v>137</v>
      </c>
      <c r="N66" s="131">
        <v>1956.9369009550001</v>
      </c>
      <c r="O66" s="13"/>
      <c r="P66" s="43" t="s">
        <v>137</v>
      </c>
      <c r="Q66" s="131">
        <v>949.92758612500006</v>
      </c>
      <c r="R66" s="13"/>
      <c r="S66" s="43" t="s">
        <v>137</v>
      </c>
      <c r="T66" s="131">
        <f t="shared" si="3"/>
        <v>6326.4989818590593</v>
      </c>
    </row>
    <row r="67" spans="1:29" ht="15.75" x14ac:dyDescent="0.25">
      <c r="A67" s="43" t="s">
        <v>138</v>
      </c>
      <c r="B67" s="131">
        <v>411.96051143879345</v>
      </c>
      <c r="D67" s="1" t="s">
        <v>138</v>
      </c>
      <c r="E67" s="131">
        <v>2389.6354879999999</v>
      </c>
      <c r="G67" s="43" t="s">
        <v>138</v>
      </c>
      <c r="H67" s="131">
        <v>688.71513700000003</v>
      </c>
      <c r="I67" s="14"/>
      <c r="J67" s="43" t="s">
        <v>138</v>
      </c>
      <c r="K67" s="131">
        <v>862.12955763144419</v>
      </c>
      <c r="L67" s="14"/>
      <c r="M67" s="43" t="s">
        <v>138</v>
      </c>
      <c r="N67" s="131">
        <v>3286.3225282299995</v>
      </c>
      <c r="O67" s="13"/>
      <c r="P67" s="43" t="s">
        <v>138</v>
      </c>
      <c r="Q67" s="131">
        <v>734.45559192999997</v>
      </c>
      <c r="R67" s="13"/>
      <c r="S67" s="43" t="s">
        <v>138</v>
      </c>
      <c r="T67" s="131">
        <f t="shared" si="3"/>
        <v>8373.2188142302366</v>
      </c>
    </row>
    <row r="68" spans="1:29" ht="15.75" x14ac:dyDescent="0.25">
      <c r="A68" s="1" t="s">
        <v>140</v>
      </c>
      <c r="B68" s="131">
        <v>246.91493639436706</v>
      </c>
      <c r="D68" s="1" t="s">
        <v>140</v>
      </c>
      <c r="E68" s="131">
        <v>1826.7579410000001</v>
      </c>
      <c r="G68" s="1" t="s">
        <v>140</v>
      </c>
      <c r="H68" s="131">
        <v>388.78942899999998</v>
      </c>
      <c r="I68" s="14"/>
      <c r="J68" s="1" t="s">
        <v>140</v>
      </c>
      <c r="K68" s="131">
        <v>730.20090431514132</v>
      </c>
      <c r="L68" s="14"/>
      <c r="M68" s="1" t="s">
        <v>140</v>
      </c>
      <c r="N68" s="131">
        <v>1490.66618902</v>
      </c>
      <c r="O68" s="14"/>
      <c r="P68" s="1" t="s">
        <v>140</v>
      </c>
      <c r="Q68" s="131">
        <v>822.51004652000006</v>
      </c>
      <c r="R68" s="14"/>
      <c r="S68" s="1" t="s">
        <v>140</v>
      </c>
      <c r="T68" s="131">
        <f t="shared" si="3"/>
        <v>5505.8394462495089</v>
      </c>
    </row>
    <row r="69" spans="1:29" ht="15.75" x14ac:dyDescent="0.25">
      <c r="A69" s="1" t="s">
        <v>139</v>
      </c>
      <c r="B69" s="131">
        <v>399.89295887494234</v>
      </c>
      <c r="D69" s="1" t="s">
        <v>139</v>
      </c>
      <c r="E69" s="131">
        <v>1846.292879140022</v>
      </c>
      <c r="G69" s="1" t="s">
        <v>139</v>
      </c>
      <c r="H69" s="131">
        <v>573.27656190999937</v>
      </c>
      <c r="I69" s="14"/>
      <c r="J69" s="1" t="s">
        <v>139</v>
      </c>
      <c r="K69" s="131">
        <v>657.10267145857597</v>
      </c>
      <c r="L69" s="14"/>
      <c r="M69" s="1" t="s">
        <v>139</v>
      </c>
      <c r="N69" s="131">
        <v>1677.6136851400001</v>
      </c>
      <c r="O69" s="14"/>
      <c r="P69" s="1" t="s">
        <v>139</v>
      </c>
      <c r="Q69" s="131">
        <v>793.44791074</v>
      </c>
      <c r="R69" s="14"/>
      <c r="S69" s="1" t="s">
        <v>139</v>
      </c>
      <c r="T69" s="131">
        <f t="shared" si="3"/>
        <v>5947.6266672635393</v>
      </c>
    </row>
    <row r="70" spans="1:29" ht="15.75" x14ac:dyDescent="0.25">
      <c r="A70" s="1" t="s">
        <v>141</v>
      </c>
      <c r="B70" s="131">
        <v>242.97078725185901</v>
      </c>
      <c r="D70" s="1" t="s">
        <v>141</v>
      </c>
      <c r="E70" s="131">
        <v>2082.5529669999996</v>
      </c>
      <c r="G70" s="43" t="s">
        <v>141</v>
      </c>
      <c r="H70" s="131">
        <v>639.2223072700001</v>
      </c>
      <c r="I70" s="14"/>
      <c r="J70" s="43" t="s">
        <v>141</v>
      </c>
      <c r="K70" s="131">
        <v>648.3964257271341</v>
      </c>
      <c r="L70" s="14"/>
      <c r="M70" s="43" t="s">
        <v>141</v>
      </c>
      <c r="N70" s="131">
        <v>2059.66309929</v>
      </c>
      <c r="O70" s="13"/>
      <c r="P70" s="43" t="s">
        <v>141</v>
      </c>
      <c r="Q70" s="131">
        <v>1106.98374749</v>
      </c>
      <c r="R70" s="13"/>
      <c r="S70" s="43" t="s">
        <v>141</v>
      </c>
      <c r="T70" s="131">
        <f t="shared" si="3"/>
        <v>6779.789334028992</v>
      </c>
    </row>
    <row r="71" spans="1:29" ht="15.75" x14ac:dyDescent="0.25">
      <c r="A71" s="1" t="s">
        <v>142</v>
      </c>
      <c r="B71" s="131">
        <v>507.30153048449313</v>
      </c>
      <c r="D71" s="1" t="s">
        <v>142</v>
      </c>
      <c r="E71" s="131">
        <v>2603.3643069999998</v>
      </c>
      <c r="G71" s="43" t="s">
        <v>142</v>
      </c>
      <c r="H71" s="131">
        <v>888.94282854739129</v>
      </c>
      <c r="I71" s="14"/>
      <c r="J71" s="43" t="s">
        <v>142</v>
      </c>
      <c r="K71" s="131">
        <v>699.50256332414529</v>
      </c>
      <c r="L71" s="14"/>
      <c r="M71" s="43" t="s">
        <v>142</v>
      </c>
      <c r="N71" s="131">
        <v>3061.5867451000004</v>
      </c>
      <c r="P71" s="43" t="s">
        <v>142</v>
      </c>
      <c r="Q71" s="131">
        <v>799.91155989999993</v>
      </c>
      <c r="R71" s="13"/>
      <c r="S71" s="43" t="s">
        <v>142</v>
      </c>
      <c r="T71" s="131">
        <f t="shared" si="3"/>
        <v>8560.6095343560301</v>
      </c>
    </row>
    <row r="72" spans="1:29" ht="15.75" x14ac:dyDescent="0.25">
      <c r="A72" s="1" t="s">
        <v>144</v>
      </c>
      <c r="B72" s="131">
        <v>336.4211585573355</v>
      </c>
      <c r="D72" s="1" t="s">
        <v>144</v>
      </c>
      <c r="E72" s="131">
        <v>1969.0820859999999</v>
      </c>
      <c r="G72" s="43" t="s">
        <v>144</v>
      </c>
      <c r="H72" s="131">
        <v>423.10558660000004</v>
      </c>
      <c r="I72" s="14"/>
      <c r="J72" s="43" t="s">
        <v>144</v>
      </c>
      <c r="K72" s="131">
        <v>621.14751713326257</v>
      </c>
      <c r="L72" s="14"/>
      <c r="M72" s="43" t="s">
        <v>144</v>
      </c>
      <c r="N72" s="131">
        <v>1034.78550513</v>
      </c>
      <c r="O72" s="14"/>
      <c r="P72" s="43" t="s">
        <v>144</v>
      </c>
      <c r="Q72" s="131">
        <v>972.02535324000007</v>
      </c>
      <c r="R72" s="14"/>
      <c r="S72" s="43" t="s">
        <v>144</v>
      </c>
      <c r="T72" s="131">
        <f t="shared" si="3"/>
        <v>5356.5672066605985</v>
      </c>
    </row>
    <row r="73" spans="1:29" ht="15.75" x14ac:dyDescent="0.25">
      <c r="A73" s="1" t="s">
        <v>147</v>
      </c>
      <c r="B73" s="131">
        <v>519.47857174526587</v>
      </c>
      <c r="D73" s="1" t="s">
        <v>147</v>
      </c>
      <c r="E73" s="131">
        <v>2035.7647669999999</v>
      </c>
      <c r="G73" s="43" t="s">
        <v>147</v>
      </c>
      <c r="H73" s="131">
        <v>591.27822300000003</v>
      </c>
      <c r="I73" s="14"/>
      <c r="J73" s="43" t="s">
        <v>147</v>
      </c>
      <c r="K73" s="131">
        <v>318.63342096375345</v>
      </c>
      <c r="L73" s="14"/>
      <c r="M73" s="43" t="s">
        <v>147</v>
      </c>
      <c r="N73" s="131">
        <v>1667.7771836299999</v>
      </c>
      <c r="O73" s="14"/>
      <c r="P73" s="43" t="s">
        <v>147</v>
      </c>
      <c r="Q73" s="131">
        <v>993.22731567000005</v>
      </c>
      <c r="R73" s="14"/>
      <c r="S73" s="43" t="s">
        <v>147</v>
      </c>
      <c r="T73" s="131">
        <f t="shared" si="3"/>
        <v>6126.1594820090195</v>
      </c>
    </row>
    <row r="74" spans="1:29" ht="15.75" x14ac:dyDescent="0.25">
      <c r="A74" s="1" t="s">
        <v>148</v>
      </c>
      <c r="B74" s="131">
        <v>381.8832772593031</v>
      </c>
      <c r="D74" s="1" t="s">
        <v>148</v>
      </c>
      <c r="E74" s="131">
        <v>2168.6355020000001</v>
      </c>
      <c r="G74" s="43" t="s">
        <v>148</v>
      </c>
      <c r="H74" s="131">
        <v>669.53628200000003</v>
      </c>
      <c r="I74" s="14"/>
      <c r="J74" s="43" t="s">
        <v>148</v>
      </c>
      <c r="K74" s="131">
        <v>291.36386023136129</v>
      </c>
      <c r="M74" s="43" t="s">
        <v>148</v>
      </c>
      <c r="N74" s="131">
        <v>759.98157744999992</v>
      </c>
      <c r="O74" s="14"/>
      <c r="P74" s="43" t="s">
        <v>148</v>
      </c>
      <c r="Q74" s="131">
        <v>1148.02213001</v>
      </c>
      <c r="R74" s="14"/>
      <c r="S74" s="43" t="s">
        <v>148</v>
      </c>
      <c r="T74" s="131">
        <f t="shared" si="3"/>
        <v>5419.4226289506651</v>
      </c>
    </row>
    <row r="75" spans="1:29" ht="15.75" x14ac:dyDescent="0.25">
      <c r="A75" s="1" t="s">
        <v>149</v>
      </c>
      <c r="B75" s="131">
        <v>521.57297455374112</v>
      </c>
      <c r="D75" s="1" t="s">
        <v>149</v>
      </c>
      <c r="E75" s="131">
        <v>2588.0009370000002</v>
      </c>
      <c r="G75" s="43" t="s">
        <v>149</v>
      </c>
      <c r="H75" s="131">
        <v>725.12065800000005</v>
      </c>
      <c r="J75" s="43" t="s">
        <v>149</v>
      </c>
      <c r="K75" s="131">
        <v>322.61105705418731</v>
      </c>
      <c r="M75" s="43" t="s">
        <v>149</v>
      </c>
      <c r="N75" s="131">
        <v>2079.059786077959</v>
      </c>
      <c r="P75" s="43" t="s">
        <v>149</v>
      </c>
      <c r="Q75" s="131">
        <v>1010.6160726720408</v>
      </c>
      <c r="S75" s="43" t="s">
        <v>149</v>
      </c>
      <c r="T75" s="131">
        <f>SUM(B75+E75+H75+K75+N75+Q75)</f>
        <v>7246.9814853579292</v>
      </c>
    </row>
    <row r="76" spans="1:29" ht="15.75" x14ac:dyDescent="0.25">
      <c r="A76" s="1" t="s">
        <v>150</v>
      </c>
      <c r="B76" s="131">
        <v>396.63091075499335</v>
      </c>
      <c r="D76" s="1" t="s">
        <v>150</v>
      </c>
      <c r="E76" s="131">
        <v>2085.1849863299999</v>
      </c>
      <c r="G76" s="43" t="s">
        <v>150</v>
      </c>
      <c r="H76" s="131">
        <v>298.07535097000004</v>
      </c>
      <c r="J76" s="43" t="s">
        <v>150</v>
      </c>
      <c r="K76" s="131">
        <v>388.99162212081546</v>
      </c>
      <c r="M76" s="43" t="s">
        <v>150</v>
      </c>
      <c r="N76" s="131">
        <v>671.98738073000004</v>
      </c>
      <c r="P76" s="43" t="s">
        <v>150</v>
      </c>
      <c r="Q76" s="131">
        <v>1016.75615744</v>
      </c>
      <c r="S76" s="43" t="s">
        <v>150</v>
      </c>
      <c r="T76" s="131">
        <f>SUM(B76+E76+H76+K76+N76+Q76)</f>
        <v>4857.6264083458091</v>
      </c>
    </row>
    <row r="77" spans="1:29" ht="15.75" x14ac:dyDescent="0.25">
      <c r="A77" s="1" t="s">
        <v>151</v>
      </c>
      <c r="B77" s="131">
        <v>530.00757766494212</v>
      </c>
      <c r="D77" s="1" t="s">
        <v>151</v>
      </c>
      <c r="E77" s="131">
        <v>2071.6297226899997</v>
      </c>
      <c r="G77" s="43" t="s">
        <v>151</v>
      </c>
      <c r="H77" s="131">
        <v>537.95804729000122</v>
      </c>
      <c r="J77" s="43" t="s">
        <v>151</v>
      </c>
      <c r="K77" s="131">
        <v>460.83966802492967</v>
      </c>
      <c r="M77" s="43" t="s">
        <v>151</v>
      </c>
      <c r="N77" s="131">
        <v>701.50993174000007</v>
      </c>
      <c r="P77" s="43" t="s">
        <v>151</v>
      </c>
      <c r="Q77" s="131">
        <v>902.91692351999995</v>
      </c>
      <c r="S77" s="43" t="s">
        <v>151</v>
      </c>
      <c r="T77" s="131">
        <f>SUM(B77+E77+H77+K77+N77+Q77)</f>
        <v>5204.8618709298726</v>
      </c>
      <c r="U77" s="126"/>
    </row>
    <row r="78" spans="1:29" ht="15.75" x14ac:dyDescent="0.25">
      <c r="A78" s="1" t="s">
        <v>152</v>
      </c>
      <c r="B78" s="131">
        <v>417.72307337422603</v>
      </c>
      <c r="D78" s="1" t="s">
        <v>152</v>
      </c>
      <c r="E78" s="131">
        <v>2161.7054709000085</v>
      </c>
      <c r="G78" s="43" t="s">
        <v>152</v>
      </c>
      <c r="H78" s="131">
        <v>484.80031789000793</v>
      </c>
      <c r="J78" s="43" t="s">
        <v>152</v>
      </c>
      <c r="K78" s="131">
        <v>434.75558766825384</v>
      </c>
      <c r="L78" s="126"/>
      <c r="M78" s="43" t="s">
        <v>152</v>
      </c>
      <c r="N78" s="159">
        <v>1760.5922807100001</v>
      </c>
      <c r="O78" s="126"/>
      <c r="P78" s="43" t="s">
        <v>152</v>
      </c>
      <c r="Q78" s="131">
        <v>736.35849886999995</v>
      </c>
      <c r="R78" s="126"/>
      <c r="S78" s="43" t="s">
        <v>152</v>
      </c>
      <c r="T78" s="131">
        <f>SUM(B78+E78+H78+K78+N78+Q78)</f>
        <v>5995.9352294124965</v>
      </c>
      <c r="U78" s="126"/>
      <c r="V78" s="126"/>
      <c r="W78" s="126"/>
      <c r="X78" s="126"/>
      <c r="Y78" s="126"/>
      <c r="Z78" s="126"/>
      <c r="AA78" s="126"/>
      <c r="AB78" s="126"/>
      <c r="AC78" s="126"/>
    </row>
    <row r="79" spans="1:29" ht="15.75" x14ac:dyDescent="0.25">
      <c r="A79" s="1" t="s">
        <v>153</v>
      </c>
      <c r="B79" s="131">
        <v>593.3388310855463</v>
      </c>
      <c r="C79" s="14"/>
      <c r="D79" s="1" t="s">
        <v>153</v>
      </c>
      <c r="E79" s="131">
        <v>2551.5873981599825</v>
      </c>
      <c r="F79" s="14"/>
      <c r="G79" s="43" t="s">
        <v>153</v>
      </c>
      <c r="H79" s="131">
        <v>613.73830658999975</v>
      </c>
      <c r="I79" s="126"/>
      <c r="J79" s="43" t="s">
        <v>153</v>
      </c>
      <c r="K79" s="131">
        <v>485.84596098600093</v>
      </c>
      <c r="L79" s="126"/>
      <c r="M79" s="43" t="s">
        <v>153</v>
      </c>
      <c r="N79" s="131">
        <v>2970.663078905</v>
      </c>
      <c r="O79" s="126"/>
      <c r="P79" s="43" t="s">
        <v>153</v>
      </c>
      <c r="Q79" s="131">
        <v>829.00830831999997</v>
      </c>
      <c r="R79" s="126"/>
      <c r="S79" s="43" t="s">
        <v>153</v>
      </c>
      <c r="T79" s="131">
        <f>SUM(B79+E79+H79+K79+N79+Q79)</f>
        <v>8044.1818840465285</v>
      </c>
      <c r="U79" s="126"/>
      <c r="V79" s="126"/>
      <c r="W79" s="126"/>
      <c r="X79" s="126"/>
      <c r="Y79" s="126"/>
      <c r="Z79" s="126"/>
      <c r="AA79" s="126"/>
      <c r="AB79" s="126"/>
      <c r="AC79" s="126"/>
    </row>
    <row r="80" spans="1:29" ht="15.75" x14ac:dyDescent="0.25">
      <c r="A80" s="1" t="s">
        <v>170</v>
      </c>
      <c r="B80" s="131">
        <v>585.901578451712</v>
      </c>
      <c r="D80" s="1" t="s">
        <v>170</v>
      </c>
      <c r="E80" s="131">
        <v>2109.742334</v>
      </c>
      <c r="G80" s="1" t="s">
        <v>170</v>
      </c>
      <c r="H80" s="131">
        <v>401.57206099999996</v>
      </c>
      <c r="J80" s="1" t="s">
        <v>170</v>
      </c>
      <c r="K80" s="131">
        <v>415.08526390999964</v>
      </c>
      <c r="M80" s="1" t="s">
        <v>170</v>
      </c>
      <c r="N80" s="131">
        <v>1260.4757006300001</v>
      </c>
      <c r="P80" s="1" t="s">
        <v>170</v>
      </c>
      <c r="Q80" s="131">
        <v>823.31762946000003</v>
      </c>
      <c r="S80" s="1" t="s">
        <v>170</v>
      </c>
      <c r="T80" s="131">
        <f t="shared" ref="T80:T87" si="4">SUM(B80+E80+H80+K80+N80+Q80)</f>
        <v>5596.0945674517116</v>
      </c>
      <c r="U80" s="126"/>
      <c r="V80" s="126"/>
      <c r="W80" s="126"/>
      <c r="X80" s="126"/>
      <c r="Y80" s="126"/>
      <c r="Z80" s="126"/>
      <c r="AA80" s="126"/>
      <c r="AB80" s="126"/>
      <c r="AC80" s="126"/>
    </row>
    <row r="81" spans="1:29" ht="15.75" x14ac:dyDescent="0.25">
      <c r="A81" s="1" t="s">
        <v>172</v>
      </c>
      <c r="B81" s="131">
        <v>620.60716959256831</v>
      </c>
      <c r="C81" s="14"/>
      <c r="D81" s="1" t="s">
        <v>172</v>
      </c>
      <c r="E81" s="131">
        <v>2158.1018830000003</v>
      </c>
      <c r="F81" s="14"/>
      <c r="G81" s="1" t="s">
        <v>172</v>
      </c>
      <c r="H81" s="131">
        <v>562.62287000000003</v>
      </c>
      <c r="I81" s="126"/>
      <c r="J81" s="1" t="s">
        <v>172</v>
      </c>
      <c r="K81" s="131">
        <v>400.48421040000022</v>
      </c>
      <c r="L81" s="126"/>
      <c r="M81" s="1" t="s">
        <v>172</v>
      </c>
      <c r="N81" s="131">
        <v>1006.0516158399998</v>
      </c>
      <c r="O81" s="126"/>
      <c r="P81" s="1" t="s">
        <v>172</v>
      </c>
      <c r="Q81" s="131">
        <v>829.27400846000012</v>
      </c>
      <c r="R81" s="126"/>
      <c r="S81" s="1" t="s">
        <v>172</v>
      </c>
      <c r="T81" s="131">
        <f t="shared" si="4"/>
        <v>5577.1417572925693</v>
      </c>
      <c r="U81" s="126"/>
      <c r="V81" s="126"/>
      <c r="W81" s="126"/>
      <c r="X81" s="126"/>
      <c r="Y81" s="126"/>
      <c r="Z81" s="126"/>
      <c r="AA81" s="126"/>
      <c r="AB81" s="126"/>
      <c r="AC81" s="126"/>
    </row>
    <row r="82" spans="1:29" ht="15.75" x14ac:dyDescent="0.25">
      <c r="A82" s="1" t="s">
        <v>174</v>
      </c>
      <c r="B82" s="131">
        <v>593.37843468248718</v>
      </c>
      <c r="C82" s="14"/>
      <c r="D82" s="1" t="s">
        <v>174</v>
      </c>
      <c r="E82" s="131">
        <v>2238.095382580158</v>
      </c>
      <c r="F82" s="14"/>
      <c r="G82" s="1" t="s">
        <v>174</v>
      </c>
      <c r="H82" s="131">
        <v>489.89449495000696</v>
      </c>
      <c r="I82" s="126"/>
      <c r="J82" s="1" t="s">
        <v>174</v>
      </c>
      <c r="K82" s="131">
        <v>361.17256028999947</v>
      </c>
      <c r="L82" s="126"/>
      <c r="M82" s="1" t="s">
        <v>174</v>
      </c>
      <c r="N82" s="131">
        <v>629.23919570999988</v>
      </c>
      <c r="O82" s="126"/>
      <c r="P82" s="1" t="s">
        <v>174</v>
      </c>
      <c r="Q82" s="131">
        <v>697.61453701000005</v>
      </c>
      <c r="R82" s="126"/>
      <c r="S82" s="1" t="s">
        <v>174</v>
      </c>
      <c r="T82" s="131">
        <f t="shared" si="4"/>
        <v>5009.394605222652</v>
      </c>
      <c r="U82" s="126"/>
      <c r="V82" s="126"/>
      <c r="W82" s="126"/>
      <c r="X82" s="126"/>
      <c r="Y82" s="126"/>
      <c r="Z82" s="126"/>
      <c r="AA82" s="126"/>
      <c r="AB82" s="126"/>
      <c r="AC82" s="126"/>
    </row>
    <row r="83" spans="1:29" ht="15.75" x14ac:dyDescent="0.25">
      <c r="A83" s="1" t="s">
        <v>190</v>
      </c>
      <c r="B83" s="131">
        <v>680.87010478852017</v>
      </c>
      <c r="C83" s="14"/>
      <c r="D83" s="1" t="s">
        <v>190</v>
      </c>
      <c r="E83" s="131">
        <v>2633.7081850000004</v>
      </c>
      <c r="F83" s="14"/>
      <c r="G83" s="1" t="s">
        <v>190</v>
      </c>
      <c r="H83" s="131">
        <v>684.66235899999992</v>
      </c>
      <c r="I83" s="126"/>
      <c r="J83" s="1" t="s">
        <v>190</v>
      </c>
      <c r="K83" s="131">
        <v>693.11409607529947</v>
      </c>
      <c r="L83" s="126"/>
      <c r="M83" s="1" t="s">
        <v>190</v>
      </c>
      <c r="N83" s="131">
        <v>2190.69698668</v>
      </c>
      <c r="O83" s="126"/>
      <c r="P83" s="1" t="s">
        <v>190</v>
      </c>
      <c r="Q83" s="131">
        <v>1244.8069623199999</v>
      </c>
      <c r="R83" s="126"/>
      <c r="S83" s="1" t="s">
        <v>190</v>
      </c>
      <c r="T83" s="131">
        <f t="shared" si="4"/>
        <v>8127.85869386382</v>
      </c>
      <c r="U83" s="126"/>
      <c r="V83" s="126"/>
      <c r="W83" s="126"/>
      <c r="X83" s="126"/>
      <c r="Y83" s="126"/>
      <c r="Z83" s="126"/>
      <c r="AA83" s="126"/>
      <c r="AB83" s="126"/>
      <c r="AC83" s="126"/>
    </row>
    <row r="84" spans="1:29" ht="15.75" x14ac:dyDescent="0.25">
      <c r="B84" s="155">
        <v>604.96315995179998</v>
      </c>
      <c r="C84" s="14"/>
      <c r="D84" s="14"/>
      <c r="E84" s="155">
        <v>2181.2318369109926</v>
      </c>
      <c r="F84" s="14"/>
      <c r="G84" s="14"/>
      <c r="H84" s="155">
        <v>338.42462627000032</v>
      </c>
      <c r="I84" s="126"/>
      <c r="J84" s="126"/>
      <c r="K84" s="155">
        <v>568.95995796</v>
      </c>
      <c r="L84" s="126"/>
      <c r="M84" s="126"/>
      <c r="N84" s="155">
        <v>521.01040804000002</v>
      </c>
      <c r="O84" s="126"/>
      <c r="P84" s="126"/>
      <c r="Q84" s="155">
        <v>797.23901747999992</v>
      </c>
      <c r="R84" s="126"/>
      <c r="S84" s="126"/>
      <c r="T84" s="131">
        <f t="shared" si="4"/>
        <v>5011.8290066127929</v>
      </c>
      <c r="U84" s="126"/>
      <c r="V84" s="126"/>
      <c r="W84" s="126"/>
      <c r="X84" s="126"/>
      <c r="Y84" s="126"/>
      <c r="Z84" s="126"/>
      <c r="AA84" s="126"/>
      <c r="AB84" s="126"/>
      <c r="AC84" s="126"/>
    </row>
    <row r="85" spans="1:29" ht="15.75" x14ac:dyDescent="0.25">
      <c r="B85" s="155">
        <v>796.71620295939999</v>
      </c>
      <c r="E85" s="155">
        <v>2247.3677510302282</v>
      </c>
      <c r="G85" s="126"/>
      <c r="H85" s="155">
        <v>626.84335740000438</v>
      </c>
      <c r="I85" s="126"/>
      <c r="J85" s="126"/>
      <c r="K85" s="155">
        <v>584.84610480000003</v>
      </c>
      <c r="L85" s="126"/>
      <c r="M85" s="126"/>
      <c r="N85" s="155">
        <v>512.08928418000028</v>
      </c>
      <c r="O85" s="126"/>
      <c r="P85" s="126"/>
      <c r="Q85" s="155">
        <v>888.71488871999998</v>
      </c>
      <c r="R85" s="126"/>
      <c r="S85" s="126"/>
      <c r="T85" s="131">
        <f t="shared" si="4"/>
        <v>5656.577589089633</v>
      </c>
      <c r="U85" s="126"/>
      <c r="V85" s="126"/>
      <c r="W85" s="126"/>
      <c r="X85" s="126"/>
      <c r="Y85" s="126"/>
      <c r="Z85" s="126"/>
      <c r="AA85" s="126"/>
      <c r="AB85" s="126"/>
      <c r="AC85" s="126"/>
    </row>
    <row r="86" spans="1:29" ht="15.75" x14ac:dyDescent="0.25">
      <c r="B86" s="155">
        <v>725.24182804245584</v>
      </c>
      <c r="E86" s="155">
        <v>2300.7609826303201</v>
      </c>
      <c r="G86" s="126"/>
      <c r="H86" s="155">
        <v>595.18732143000182</v>
      </c>
      <c r="K86" s="155">
        <v>548.08122967999986</v>
      </c>
      <c r="L86" s="126"/>
      <c r="M86" s="126"/>
      <c r="N86" s="155">
        <v>652.44505699000092</v>
      </c>
      <c r="O86" s="126"/>
      <c r="P86" s="126"/>
      <c r="Q86" s="155">
        <v>1007.8701179299991</v>
      </c>
      <c r="R86" s="126"/>
      <c r="T86" s="131">
        <f t="shared" si="4"/>
        <v>5829.5865367027773</v>
      </c>
      <c r="U86" s="126"/>
      <c r="V86" s="126"/>
      <c r="W86" s="126"/>
      <c r="X86" s="126"/>
      <c r="Y86" s="126"/>
      <c r="Z86" s="126"/>
      <c r="AA86" s="126"/>
      <c r="AB86" s="126"/>
      <c r="AC86" s="126"/>
    </row>
    <row r="87" spans="1:29" ht="15.75" x14ac:dyDescent="0.25">
      <c r="B87" s="155">
        <v>852.18916258929949</v>
      </c>
      <c r="E87" s="155">
        <v>2721.1774458103473</v>
      </c>
      <c r="G87" s="126"/>
      <c r="H87" s="155">
        <v>859.06736570000476</v>
      </c>
      <c r="I87" s="126"/>
      <c r="J87" s="126"/>
      <c r="K87" s="155">
        <v>718.69754625999997</v>
      </c>
      <c r="L87" s="126"/>
      <c r="M87" s="126"/>
      <c r="N87" s="155">
        <v>1557.8322647799994</v>
      </c>
      <c r="O87" s="126"/>
      <c r="P87" s="126"/>
      <c r="Q87" s="155">
        <v>947.52541090000068</v>
      </c>
      <c r="R87" s="126"/>
      <c r="S87" s="126"/>
      <c r="T87" s="131">
        <f t="shared" si="4"/>
        <v>7656.4891960396517</v>
      </c>
      <c r="U87" s="126"/>
      <c r="V87" s="126"/>
      <c r="W87" s="126"/>
      <c r="X87" s="126"/>
      <c r="Y87" s="126"/>
      <c r="Z87" s="126"/>
      <c r="AA87" s="126"/>
      <c r="AB87" s="126"/>
      <c r="AC87" s="126"/>
    </row>
    <row r="88" spans="1:29" ht="15.75" x14ac:dyDescent="0.25">
      <c r="B88" s="155"/>
      <c r="G88" s="155"/>
      <c r="H88" s="155"/>
      <c r="I88" s="155"/>
      <c r="J88" s="155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</row>
    <row r="89" spans="1:29" x14ac:dyDescent="0.25"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</row>
    <row r="90" spans="1:29" ht="15.75" x14ac:dyDescent="0.25">
      <c r="D90" s="155"/>
      <c r="E90" s="155"/>
      <c r="F90" s="155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</row>
    <row r="91" spans="1:29" x14ac:dyDescent="0.25"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</row>
    <row r="92" spans="1:29" x14ac:dyDescent="0.25"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</row>
    <row r="93" spans="1:29" x14ac:dyDescent="0.25"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</row>
    <row r="94" spans="1:29" x14ac:dyDescent="0.25">
      <c r="G94" s="126"/>
      <c r="H94" s="126"/>
      <c r="I94" s="126"/>
      <c r="J94" s="126"/>
      <c r="K94" s="126"/>
      <c r="L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</row>
    <row r="95" spans="1:29" x14ac:dyDescent="0.25"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</row>
    <row r="96" spans="1:29" x14ac:dyDescent="0.25"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</row>
  </sheetData>
  <mergeCells count="9">
    <mergeCell ref="S2:T2"/>
    <mergeCell ref="M2:N2"/>
    <mergeCell ref="P2:Q2"/>
    <mergeCell ref="J2:K2"/>
    <mergeCell ref="A1:K1"/>
    <mergeCell ref="M1:Q1"/>
    <mergeCell ref="G2:H2"/>
    <mergeCell ref="D2:E2"/>
    <mergeCell ref="A2:B2"/>
  </mergeCells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6146" r:id="rId4">
          <objectPr defaultSize="0" autoPict="0" r:id="rId5">
            <anchor moveWithCells="1">
              <from>
                <xdr:col>8</xdr:col>
                <xdr:colOff>0</xdr:colOff>
                <xdr:row>11</xdr:row>
                <xdr:rowOff>0</xdr:rowOff>
              </from>
              <to>
                <xdr:col>9</xdr:col>
                <xdr:colOff>476250</xdr:colOff>
                <xdr:row>11</xdr:row>
                <xdr:rowOff>0</xdr:rowOff>
              </to>
            </anchor>
          </objectPr>
        </oleObject>
      </mc:Choice>
      <mc:Fallback>
        <oleObject progId="Equation.3" shapeId="6146" r:id="rId4"/>
      </mc:Fallback>
    </mc:AlternateContent>
    <mc:AlternateContent xmlns:mc="http://schemas.openxmlformats.org/markup-compatibility/2006">
      <mc:Choice Requires="x14">
        <oleObject progId="Equation.3" shapeId="6148" r:id="rId6">
          <objectPr defaultSize="0" autoPict="0" r:id="rId7">
            <anchor moveWithCells="1">
              <from>
                <xdr:col>11</xdr:col>
                <xdr:colOff>0</xdr:colOff>
                <xdr:row>11</xdr:row>
                <xdr:rowOff>0</xdr:rowOff>
              </from>
              <to>
                <xdr:col>11</xdr:col>
                <xdr:colOff>762000</xdr:colOff>
                <xdr:row>11</xdr:row>
                <xdr:rowOff>0</xdr:rowOff>
              </to>
            </anchor>
          </objectPr>
        </oleObject>
      </mc:Choice>
      <mc:Fallback>
        <oleObject progId="Equation.3" shapeId="6148" r:id="rId6"/>
      </mc:Fallback>
    </mc:AlternateContent>
    <mc:AlternateContent xmlns:mc="http://schemas.openxmlformats.org/markup-compatibility/2006">
      <mc:Choice Requires="x14">
        <oleObject progId="Equation.3" shapeId="6150" r:id="rId8">
          <objectPr defaultSize="0" autoPict="0" r:id="rId9">
            <anchor moveWithCells="1">
              <from>
                <xdr:col>14</xdr:col>
                <xdr:colOff>0</xdr:colOff>
                <xdr:row>11</xdr:row>
                <xdr:rowOff>0</xdr:rowOff>
              </from>
              <to>
                <xdr:col>15</xdr:col>
                <xdr:colOff>542925</xdr:colOff>
                <xdr:row>11</xdr:row>
                <xdr:rowOff>0</xdr:rowOff>
              </to>
            </anchor>
          </objectPr>
        </oleObject>
      </mc:Choice>
      <mc:Fallback>
        <oleObject progId="Equation.3" shapeId="6150" r:id="rId8"/>
      </mc:Fallback>
    </mc:AlternateContent>
    <mc:AlternateContent xmlns:mc="http://schemas.openxmlformats.org/markup-compatibility/2006">
      <mc:Choice Requires="x14">
        <oleObject progId="Equation.3" shapeId="6152" r:id="rId10">
          <objectPr defaultSize="0" autoPict="0" r:id="rId11">
            <anchor moveWithCells="1">
              <from>
                <xdr:col>17</xdr:col>
                <xdr:colOff>0</xdr:colOff>
                <xdr:row>11</xdr:row>
                <xdr:rowOff>0</xdr:rowOff>
              </from>
              <to>
                <xdr:col>17</xdr:col>
                <xdr:colOff>762000</xdr:colOff>
                <xdr:row>11</xdr:row>
                <xdr:rowOff>0</xdr:rowOff>
              </to>
            </anchor>
          </objectPr>
        </oleObject>
      </mc:Choice>
      <mc:Fallback>
        <oleObject progId="Equation.3" shapeId="6152" r:id="rId10"/>
      </mc:Fallback>
    </mc:AlternateContent>
    <mc:AlternateContent xmlns:mc="http://schemas.openxmlformats.org/markup-compatibility/2006">
      <mc:Choice Requires="x14">
        <oleObject progId="Equation.3" shapeId="6154" r:id="rId12">
          <objectPr defaultSize="0" autoPict="0" r:id="rId13">
            <anchor moveWithCells="1">
              <from>
                <xdr:col>5</xdr:col>
                <xdr:colOff>0</xdr:colOff>
                <xdr:row>11</xdr:row>
                <xdr:rowOff>0</xdr:rowOff>
              </from>
              <to>
                <xdr:col>6</xdr:col>
                <xdr:colOff>504825</xdr:colOff>
                <xdr:row>11</xdr:row>
                <xdr:rowOff>0</xdr:rowOff>
              </to>
            </anchor>
          </objectPr>
        </oleObject>
      </mc:Choice>
      <mc:Fallback>
        <oleObject progId="Equation.3" shapeId="6154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89"/>
  <sheetViews>
    <sheetView zoomScale="85" zoomScaleNormal="85" zoomScalePageLayoutView="70" workbookViewId="0">
      <pane xSplit="1" ySplit="3" topLeftCell="BB77" activePane="bottomRight" state="frozen"/>
      <selection pane="topRight" activeCell="B1" sqref="B1"/>
      <selection pane="bottomLeft" activeCell="A4" sqref="A4"/>
      <selection pane="bottomRight" activeCell="BF85" sqref="BF85:BF89"/>
    </sheetView>
  </sheetViews>
  <sheetFormatPr baseColWidth="10" defaultColWidth="11.42578125" defaultRowHeight="15" x14ac:dyDescent="0.25"/>
  <cols>
    <col min="1" max="1" width="17.7109375" style="27" bestFit="1" customWidth="1"/>
    <col min="2" max="2" width="11.28515625" style="27" bestFit="1" customWidth="1"/>
    <col min="3" max="3" width="12.42578125" style="27" bestFit="1" customWidth="1"/>
    <col min="4" max="4" width="12.5703125" style="9" customWidth="1"/>
    <col min="5" max="5" width="16.42578125" style="27" customWidth="1"/>
    <col min="6" max="6" width="14.5703125" style="9" customWidth="1"/>
    <col min="7" max="7" width="11.42578125" style="27"/>
    <col min="8" max="8" width="11" style="27" bestFit="1" customWidth="1"/>
    <col min="9" max="9" width="11.7109375" style="27" bestFit="1" customWidth="1"/>
    <col min="10" max="10" width="9.140625" style="9" customWidth="1"/>
    <col min="11" max="11" width="7" style="27" bestFit="1" customWidth="1"/>
    <col min="12" max="12" width="12.140625" style="27" bestFit="1" customWidth="1"/>
    <col min="13" max="13" width="11.42578125" style="27"/>
    <col min="14" max="14" width="11" style="27" bestFit="1" customWidth="1"/>
    <col min="15" max="15" width="11.7109375" style="27" bestFit="1" customWidth="1"/>
    <col min="16" max="16" width="8" style="27" customWidth="1"/>
    <col min="17" max="17" width="7.42578125" style="27" bestFit="1" customWidth="1"/>
    <col min="18" max="18" width="13.140625" style="27" bestFit="1" customWidth="1"/>
    <col min="19" max="19" width="11.42578125" style="27"/>
    <col min="20" max="20" width="11" style="27" bestFit="1" customWidth="1"/>
    <col min="21" max="21" width="11.7109375" style="27" bestFit="1" customWidth="1"/>
    <col min="22" max="22" width="11.42578125" style="27" customWidth="1"/>
    <col min="23" max="23" width="7.42578125" style="27" bestFit="1" customWidth="1"/>
    <col min="24" max="24" width="12.140625" style="27" bestFit="1" customWidth="1"/>
    <col min="25" max="25" width="11.42578125" style="27"/>
    <col min="26" max="26" width="11" style="27" bestFit="1" customWidth="1"/>
    <col min="27" max="27" width="11.7109375" style="27" bestFit="1" customWidth="1"/>
    <col min="28" max="28" width="12.28515625" style="27" customWidth="1"/>
    <col min="29" max="29" width="9.28515625" style="27" bestFit="1" customWidth="1"/>
    <col min="30" max="30" width="12.140625" style="27" bestFit="1" customWidth="1"/>
    <col min="31" max="31" width="11.42578125" style="27"/>
    <col min="32" max="32" width="11" style="27" bestFit="1" customWidth="1"/>
    <col min="33" max="33" width="11.7109375" style="27" bestFit="1" customWidth="1"/>
    <col min="34" max="34" width="11.42578125" style="27" customWidth="1"/>
    <col min="35" max="35" width="7.42578125" style="27" bestFit="1" customWidth="1"/>
    <col min="36" max="36" width="17.42578125" style="27" bestFit="1" customWidth="1"/>
    <col min="37" max="37" width="11.42578125" style="27"/>
    <col min="38" max="38" width="11" style="27" bestFit="1" customWidth="1"/>
    <col min="39" max="39" width="11.7109375" style="27" bestFit="1" customWidth="1"/>
    <col min="40" max="40" width="11.85546875" style="27" customWidth="1"/>
    <col min="41" max="41" width="7" style="27" bestFit="1" customWidth="1"/>
    <col min="42" max="42" width="16.85546875" style="27" bestFit="1" customWidth="1"/>
    <col min="43" max="43" width="11.42578125" style="27"/>
    <col min="44" max="44" width="11" style="27" bestFit="1" customWidth="1"/>
    <col min="45" max="45" width="15.42578125" style="27" bestFit="1" customWidth="1"/>
    <col min="46" max="46" width="12.42578125" style="27" customWidth="1"/>
    <col min="47" max="47" width="10.42578125" style="27" customWidth="1"/>
    <col min="48" max="48" width="15" style="27" bestFit="1" customWidth="1"/>
    <col min="49" max="50" width="11.42578125" style="27"/>
    <col min="51" max="51" width="11.7109375" style="250" customWidth="1"/>
    <col min="52" max="52" width="10.140625" style="252" customWidth="1"/>
    <col min="53" max="53" width="10.42578125" style="252" customWidth="1"/>
    <col min="54" max="55" width="16.7109375" style="252" bestFit="1" customWidth="1"/>
    <col min="56" max="56" width="10.85546875" style="252" customWidth="1"/>
    <col min="57" max="57" width="16.7109375" style="252" bestFit="1" customWidth="1"/>
    <col min="58" max="58" width="14.5703125" style="252" customWidth="1"/>
    <col min="59" max="59" width="15.140625" style="27" customWidth="1"/>
    <col min="60" max="60" width="11.42578125" style="27"/>
    <col min="61" max="61" width="11.5703125" style="27" bestFit="1" customWidth="1"/>
    <col min="62" max="62" width="11.28515625" style="27" bestFit="1" customWidth="1"/>
    <col min="63" max="63" width="11.5703125" style="27" bestFit="1" customWidth="1"/>
    <col min="64" max="64" width="11.28515625" style="27" bestFit="1" customWidth="1"/>
    <col min="65" max="16384" width="11.42578125" style="27"/>
  </cols>
  <sheetData>
    <row r="1" spans="1:64" ht="15" customHeight="1" x14ac:dyDescent="0.25">
      <c r="A1" s="422" t="s">
        <v>83</v>
      </c>
      <c r="B1" s="423"/>
      <c r="C1" s="423"/>
      <c r="D1" s="423"/>
      <c r="E1" s="423"/>
      <c r="F1" s="424"/>
      <c r="H1" s="435" t="s">
        <v>84</v>
      </c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  <c r="AD1" s="435"/>
      <c r="AE1" s="87"/>
      <c r="AF1" s="436" t="s">
        <v>85</v>
      </c>
      <c r="AG1" s="436"/>
      <c r="AH1" s="436"/>
      <c r="AI1" s="436"/>
      <c r="AJ1" s="436"/>
      <c r="AK1" s="436"/>
      <c r="AL1" s="436"/>
      <c r="AM1" s="436"/>
      <c r="AN1" s="436"/>
      <c r="AO1" s="436"/>
      <c r="AP1" s="436"/>
      <c r="AY1" s="444"/>
      <c r="AZ1" s="440" t="s">
        <v>229</v>
      </c>
      <c r="BA1" s="440"/>
      <c r="BB1" s="440"/>
      <c r="BC1" s="440"/>
      <c r="BD1" s="440"/>
      <c r="BE1" s="440"/>
      <c r="BF1" s="440"/>
      <c r="BG1" s="246"/>
      <c r="BH1" s="247"/>
    </row>
    <row r="2" spans="1:64" ht="21.75" customHeight="1" x14ac:dyDescent="0.25">
      <c r="A2" s="431" t="s">
        <v>53</v>
      </c>
      <c r="B2" s="429" t="s">
        <v>61</v>
      </c>
      <c r="C2" s="429" t="s">
        <v>62</v>
      </c>
      <c r="D2" s="427"/>
      <c r="E2" s="420" t="s">
        <v>161</v>
      </c>
      <c r="F2" s="425"/>
      <c r="H2" s="433" t="s">
        <v>157</v>
      </c>
      <c r="I2" s="434"/>
      <c r="J2" s="434"/>
      <c r="K2" s="434"/>
      <c r="L2" s="437"/>
      <c r="M2" s="88"/>
      <c r="N2" s="433" t="s">
        <v>86</v>
      </c>
      <c r="O2" s="434"/>
      <c r="P2" s="434"/>
      <c r="Q2" s="434"/>
      <c r="R2" s="437"/>
      <c r="S2" s="88"/>
      <c r="T2" s="433" t="s">
        <v>87</v>
      </c>
      <c r="U2" s="434"/>
      <c r="V2" s="434"/>
      <c r="W2" s="434"/>
      <c r="X2" s="437"/>
      <c r="Y2" s="88"/>
      <c r="Z2" s="433" t="s">
        <v>88</v>
      </c>
      <c r="AA2" s="434"/>
      <c r="AB2" s="434"/>
      <c r="AC2" s="434"/>
      <c r="AD2" s="437"/>
      <c r="AE2" s="88"/>
      <c r="AF2" s="433" t="s">
        <v>89</v>
      </c>
      <c r="AG2" s="434"/>
      <c r="AH2" s="434"/>
      <c r="AI2" s="434"/>
      <c r="AJ2" s="437"/>
      <c r="AK2" s="88"/>
      <c r="AL2" s="433" t="s">
        <v>90</v>
      </c>
      <c r="AM2" s="434"/>
      <c r="AN2" s="438"/>
      <c r="AO2" s="438"/>
      <c r="AP2" s="439"/>
      <c r="AR2" s="433" t="s">
        <v>176</v>
      </c>
      <c r="AS2" s="434"/>
      <c r="AT2" s="434"/>
      <c r="AU2" s="434"/>
      <c r="AV2" s="434"/>
      <c r="AY2" s="444"/>
      <c r="AZ2" s="440" t="s">
        <v>230</v>
      </c>
      <c r="BA2" s="440"/>
      <c r="BB2" s="440"/>
      <c r="BC2" s="440"/>
      <c r="BD2" s="441" t="s">
        <v>231</v>
      </c>
      <c r="BE2" s="441"/>
      <c r="BF2" s="442" t="s">
        <v>81</v>
      </c>
      <c r="BG2" s="248"/>
      <c r="BH2" s="249"/>
    </row>
    <row r="3" spans="1:64" ht="33" customHeight="1" x14ac:dyDescent="0.25">
      <c r="A3" s="432"/>
      <c r="B3" s="430"/>
      <c r="C3" s="430"/>
      <c r="D3" s="428"/>
      <c r="E3" s="421"/>
      <c r="F3" s="426"/>
      <c r="H3" s="90"/>
      <c r="I3" s="91" t="s">
        <v>91</v>
      </c>
      <c r="J3" s="85"/>
      <c r="K3" s="93" t="s">
        <v>92</v>
      </c>
      <c r="L3" s="94" t="s">
        <v>81</v>
      </c>
      <c r="M3" s="88" t="s">
        <v>219</v>
      </c>
      <c r="N3" s="90"/>
      <c r="O3" s="91" t="s">
        <v>91</v>
      </c>
      <c r="P3" s="92"/>
      <c r="Q3" s="93" t="s">
        <v>92</v>
      </c>
      <c r="R3" s="94" t="s">
        <v>81</v>
      </c>
      <c r="S3" s="88"/>
      <c r="T3" s="90"/>
      <c r="U3" s="91" t="s">
        <v>91</v>
      </c>
      <c r="V3" s="92"/>
      <c r="W3" s="93" t="s">
        <v>92</v>
      </c>
      <c r="X3" s="94" t="s">
        <v>81</v>
      </c>
      <c r="Y3" s="95"/>
      <c r="Z3" s="90"/>
      <c r="AA3" s="91" t="s">
        <v>91</v>
      </c>
      <c r="AB3" s="92"/>
      <c r="AC3" s="93" t="s">
        <v>92</v>
      </c>
      <c r="AD3" s="94" t="s">
        <v>81</v>
      </c>
      <c r="AE3" s="88"/>
      <c r="AF3" s="90"/>
      <c r="AG3" s="91" t="s">
        <v>91</v>
      </c>
      <c r="AH3" s="92"/>
      <c r="AI3" s="93" t="s">
        <v>92</v>
      </c>
      <c r="AJ3" s="94" t="s">
        <v>81</v>
      </c>
      <c r="AK3" s="88"/>
      <c r="AL3" s="90"/>
      <c r="AM3" s="91" t="s">
        <v>91</v>
      </c>
      <c r="AN3" s="92"/>
      <c r="AO3" s="93" t="s">
        <v>92</v>
      </c>
      <c r="AP3" s="94" t="s">
        <v>81</v>
      </c>
      <c r="AQ3" s="27" t="s">
        <v>220</v>
      </c>
      <c r="AR3" s="90"/>
      <c r="AS3" s="47" t="s">
        <v>95</v>
      </c>
      <c r="AT3" s="96"/>
      <c r="AU3" s="97" t="s">
        <v>92</v>
      </c>
      <c r="AV3" s="47" t="s">
        <v>81</v>
      </c>
      <c r="AY3" s="253" t="s">
        <v>232</v>
      </c>
      <c r="AZ3" s="256" t="s">
        <v>77</v>
      </c>
      <c r="BA3" s="256" t="s">
        <v>78</v>
      </c>
      <c r="BB3" s="256" t="s">
        <v>233</v>
      </c>
      <c r="BC3" s="256" t="s">
        <v>80</v>
      </c>
      <c r="BD3" s="256" t="s">
        <v>79</v>
      </c>
      <c r="BE3" s="256" t="s">
        <v>80</v>
      </c>
      <c r="BF3" s="443"/>
      <c r="BG3" s="89" t="s">
        <v>162</v>
      </c>
      <c r="BH3" s="101" t="s">
        <v>82</v>
      </c>
      <c r="BI3" s="89" t="s">
        <v>123</v>
      </c>
      <c r="BJ3" s="89" t="s">
        <v>124</v>
      </c>
      <c r="BK3" s="89" t="s">
        <v>125</v>
      </c>
      <c r="BL3" s="89" t="s">
        <v>126</v>
      </c>
    </row>
    <row r="4" spans="1:64" hidden="1" x14ac:dyDescent="0.25">
      <c r="A4" s="1" t="s">
        <v>202</v>
      </c>
      <c r="B4" s="220">
        <f>'Ingreso estructural no oil'!K3</f>
        <v>38357.784396351497</v>
      </c>
      <c r="C4" s="40">
        <f>'Ingreso estructural no oil'!L3</f>
        <v>39175.646000000001</v>
      </c>
      <c r="D4" s="181">
        <f>B4/C4</f>
        <v>0.97912321334411423</v>
      </c>
      <c r="E4" s="64">
        <f>'Ingreso estructural no oil'!N3</f>
        <v>26735.941219348766</v>
      </c>
      <c r="F4" s="217"/>
      <c r="H4" s="1" t="s">
        <v>202</v>
      </c>
      <c r="I4" s="46">
        <f>SUM('Datos Gastos GC'!B4:B7)</f>
        <v>941.3</v>
      </c>
      <c r="J4" s="85"/>
      <c r="K4" s="93"/>
      <c r="L4" s="94"/>
      <c r="M4" s="95">
        <v>1048.29993658996</v>
      </c>
      <c r="N4" s="1" t="s">
        <v>202</v>
      </c>
      <c r="O4" s="46">
        <f>SUM('Datos Gastos GC'!E4:E7)</f>
        <v>1509.6999999999998</v>
      </c>
      <c r="P4" s="92"/>
      <c r="Q4" s="93"/>
      <c r="R4" s="94"/>
      <c r="S4" s="88"/>
      <c r="T4" s="1" t="s">
        <v>202</v>
      </c>
      <c r="U4" s="46">
        <f>SUM('Datos Gastos GC'!H4:H7)</f>
        <v>197</v>
      </c>
      <c r="V4" s="92"/>
      <c r="W4" s="93"/>
      <c r="X4" s="94"/>
      <c r="Y4" s="95"/>
      <c r="Z4" s="1" t="s">
        <v>202</v>
      </c>
      <c r="AA4" s="46">
        <f>SUM('Datos Gastos GC'!K4:K7)</f>
        <v>492.5</v>
      </c>
      <c r="AB4" s="92"/>
      <c r="AC4" s="93"/>
      <c r="AD4" s="94"/>
      <c r="AE4" s="88"/>
      <c r="AF4" s="1" t="s">
        <v>202</v>
      </c>
      <c r="AG4" s="46">
        <f>SUM('Datos Gastos GC'!N4:N7)</f>
        <v>602.1</v>
      </c>
      <c r="AH4" s="92"/>
      <c r="AI4" s="93"/>
      <c r="AJ4" s="94"/>
      <c r="AK4" s="88">
        <v>538.31721381019304</v>
      </c>
      <c r="AL4" s="1" t="s">
        <v>202</v>
      </c>
      <c r="AM4" s="46">
        <f>SUM('Datos Gastos GC'!Q4:Q7)</f>
        <v>443.29999999999995</v>
      </c>
      <c r="AN4" s="64"/>
      <c r="AO4" s="64"/>
      <c r="AP4" s="64"/>
      <c r="AQ4" s="27">
        <v>327.38919386447998</v>
      </c>
      <c r="AR4" s="1" t="s">
        <v>202</v>
      </c>
      <c r="AS4" s="46">
        <f>SUM('Datos Gastos GC'!T4:T7)</f>
        <v>4185.8999999999996</v>
      </c>
      <c r="AT4" s="96"/>
      <c r="AU4" s="173"/>
      <c r="AV4" s="172"/>
      <c r="AW4" s="27">
        <v>3779.7826415888198</v>
      </c>
      <c r="AY4" s="254" t="s">
        <v>202</v>
      </c>
      <c r="AZ4" s="251"/>
      <c r="BA4" s="89"/>
      <c r="BB4" s="89"/>
      <c r="BC4" s="89"/>
      <c r="BD4" s="89"/>
      <c r="BE4" s="89"/>
      <c r="BF4" s="101"/>
      <c r="BG4" s="89"/>
      <c r="BH4" s="101"/>
      <c r="BI4" s="89"/>
      <c r="BJ4" s="89"/>
      <c r="BK4" s="89"/>
      <c r="BL4" s="89"/>
    </row>
    <row r="5" spans="1:64" hidden="1" x14ac:dyDescent="0.25">
      <c r="A5" s="1" t="s">
        <v>203</v>
      </c>
      <c r="B5" s="220">
        <f>'Ingreso estructural no oil'!K4</f>
        <v>38204.126448711701</v>
      </c>
      <c r="C5" s="40">
        <f>'Ingreso estructural no oil'!L4</f>
        <v>38719.183446445968</v>
      </c>
      <c r="D5" s="181">
        <f t="shared" ref="D5:D11" si="0">B5/C5</f>
        <v>0.98669762758693857</v>
      </c>
      <c r="E5" s="64">
        <f>'Ingreso estructural no oil'!N4</f>
        <v>24948.453386284375</v>
      </c>
      <c r="F5" s="181">
        <f>(E5/E4)-1</f>
        <v>-6.6857112618529779E-2</v>
      </c>
      <c r="H5" s="1" t="s">
        <v>203</v>
      </c>
      <c r="I5" s="46">
        <f>SUM('Datos Gastos GC'!B5:B8)</f>
        <v>1000.4</v>
      </c>
      <c r="J5" s="181">
        <f t="shared" ref="J5:J12" si="1">(I5/I4)-1</f>
        <v>6.2785509401890982E-2</v>
      </c>
      <c r="K5" s="64">
        <f t="shared" ref="K5:K10" si="2">J5/F5</f>
        <v>-0.93909992434357192</v>
      </c>
      <c r="L5" s="64">
        <f t="shared" ref="L5:L11" si="3">I5*((D5)^K5)</f>
        <v>1013.0605632929041</v>
      </c>
      <c r="M5" s="27">
        <v>1056.60545551975</v>
      </c>
      <c r="N5" s="1" t="s">
        <v>203</v>
      </c>
      <c r="O5" s="46">
        <f>SUM('Datos Gastos GC'!E5:E8)</f>
        <v>1358.3999999999999</v>
      </c>
      <c r="P5" s="64">
        <f t="shared" ref="P5:P12" si="4">(O5/O4)-1</f>
        <v>-0.10021858647413395</v>
      </c>
      <c r="Q5" s="64">
        <f t="shared" ref="Q5:Q12" si="5">P5/F5</f>
        <v>1.4989966295128019</v>
      </c>
      <c r="R5" s="64">
        <f t="shared" ref="R5:R12" si="6">O5*((D5)^Q5)</f>
        <v>1331.40331638611</v>
      </c>
      <c r="S5" s="95"/>
      <c r="T5" s="1" t="s">
        <v>203</v>
      </c>
      <c r="U5" s="46">
        <f>SUM('Datos Gastos GC'!H5:H8)</f>
        <v>168.79999999999998</v>
      </c>
      <c r="V5" s="64">
        <f t="shared" ref="V5:V12" si="7">(U5/U4)-1</f>
        <v>-0.14314720812182746</v>
      </c>
      <c r="W5" s="64">
        <f t="shared" ref="W5:W12" si="8">V5/F5</f>
        <v>2.1410916881587481</v>
      </c>
      <c r="X5" s="64">
        <f t="shared" ref="X5:X12" si="9">U5*((D5)^W5)</f>
        <v>164.02877173194517</v>
      </c>
      <c r="Y5" s="95"/>
      <c r="Z5" s="1" t="s">
        <v>203</v>
      </c>
      <c r="AA5" s="46">
        <f>SUM('Datos Gastos GC'!K5:K8)</f>
        <v>491.69999999999993</v>
      </c>
      <c r="AB5" s="64">
        <f>(AA5/AA4)-1</f>
        <v>-1.6243654822336584E-3</v>
      </c>
      <c r="AC5" s="64">
        <f>AB5/F5</f>
        <v>2.42960758940023E-2</v>
      </c>
      <c r="AD5" s="64">
        <f t="shared" ref="AD5:AD11" si="10">AA5*((D5)^AC5)</f>
        <v>491.54004437807151</v>
      </c>
      <c r="AE5" s="95"/>
      <c r="AF5" s="1" t="s">
        <v>203</v>
      </c>
      <c r="AG5" s="46">
        <f>SUM('Datos Gastos GC'!N5:N8)</f>
        <v>567.5</v>
      </c>
      <c r="AH5" s="64">
        <f t="shared" ref="AH5:AH12" si="11">(AG5/AG4)-1</f>
        <v>-5.7465537286165103E-2</v>
      </c>
      <c r="AI5" s="64">
        <f t="shared" ref="AI5:AI12" si="12">AH5/F5</f>
        <v>0.85952765585390001</v>
      </c>
      <c r="AJ5" s="64">
        <f t="shared" ref="AJ5:AJ12" si="13">AG5*((D5)^AI5)</f>
        <v>561.00524963526425</v>
      </c>
      <c r="AK5" s="95">
        <v>523.52072259595604</v>
      </c>
      <c r="AL5" s="1" t="s">
        <v>203</v>
      </c>
      <c r="AM5" s="46">
        <f>SUM('Datos Gastos GC'!Q5:Q8)</f>
        <v>404.8</v>
      </c>
      <c r="AN5" s="64">
        <f t="shared" ref="AN5:AN12" si="14">(AM5/AM4)-1</f>
        <v>-8.6848635235731941E-2</v>
      </c>
      <c r="AO5" s="64">
        <f t="shared" ref="AO5:AO12" si="15">AN5/F5</f>
        <v>1.2990186359268738</v>
      </c>
      <c r="AP5" s="64">
        <f t="shared" ref="AP5:AP12" si="16">AM5*((D5)^AO5)</f>
        <v>397.81899924718249</v>
      </c>
      <c r="AQ5" s="27">
        <v>321.50932166630901</v>
      </c>
      <c r="AR5" s="1" t="s">
        <v>203</v>
      </c>
      <c r="AS5" s="46">
        <f>SUM('Datos Gastos GC'!T5:T8)</f>
        <v>3991.6000000000004</v>
      </c>
      <c r="AT5" s="64">
        <f t="shared" ref="AT5:AT12" si="17">(AS5/AS4)-1</f>
        <v>-4.6417735731861587E-2</v>
      </c>
      <c r="AU5" s="64">
        <f t="shared" ref="AU5:AU12" si="18">AT5/F5</f>
        <v>0.69428268607275578</v>
      </c>
      <c r="AV5" s="64">
        <f t="shared" ref="AV5:AV12" si="19">AS5*((D5)^AU5)</f>
        <v>3954.659753993164</v>
      </c>
      <c r="AW5" s="27">
        <v>3673.6405386644901</v>
      </c>
      <c r="AY5" s="254" t="s">
        <v>203</v>
      </c>
      <c r="AZ5" s="251">
        <f t="shared" ref="AZ5:AZ12" si="20">L5</f>
        <v>1013.0605632929041</v>
      </c>
      <c r="BA5" s="251">
        <f t="shared" ref="BA5:BA12" si="21">R5</f>
        <v>1331.40331638611</v>
      </c>
      <c r="BB5" s="251">
        <f t="shared" ref="BB5:BB12" si="22">X5</f>
        <v>164.02877173194517</v>
      </c>
      <c r="BC5" s="251">
        <f t="shared" ref="BC5:BC12" si="23">AD5</f>
        <v>491.54004437807151</v>
      </c>
      <c r="BD5" s="251">
        <f t="shared" ref="BD5:BD12" si="24">AJ5</f>
        <v>561.00524963526425</v>
      </c>
      <c r="BE5" s="251">
        <f t="shared" ref="BE5:BE12" si="25">AP5</f>
        <v>397.81899924718249</v>
      </c>
      <c r="BF5" s="251">
        <f>SUM(AZ5:BE5)</f>
        <v>3958.8569446714773</v>
      </c>
      <c r="BG5" s="64">
        <f>(I5+O5+U5+AA5+AG5+AM5)</f>
        <v>3991.6</v>
      </c>
      <c r="BH5" s="64">
        <f t="shared" ref="BH5:BH12" si="26">BF5-AZ5</f>
        <v>2945.7963813785732</v>
      </c>
      <c r="BI5" s="64">
        <f t="shared" ref="BI5:BI12" si="27">SUM(AZ5:BC5)</f>
        <v>3000.0326957890306</v>
      </c>
      <c r="BJ5" s="64">
        <f t="shared" ref="BJ5:BJ12" si="28">I5+O5+U5+AA5</f>
        <v>3019.2999999999997</v>
      </c>
      <c r="BK5" s="64">
        <f t="shared" ref="BK5:BK12" si="29">SUM(BD5:BE5)</f>
        <v>958.82424888244668</v>
      </c>
      <c r="BL5" s="64">
        <f t="shared" ref="BL5:BL12" si="30">AG5+AM5</f>
        <v>972.3</v>
      </c>
    </row>
    <row r="6" spans="1:64" hidden="1" x14ac:dyDescent="0.25">
      <c r="A6" s="1" t="s">
        <v>204</v>
      </c>
      <c r="B6" s="220">
        <f>'Ingreso estructural no oil'!K5</f>
        <v>38058.646657108402</v>
      </c>
      <c r="C6" s="40">
        <f>'Ingreso estructural no oil'!L5</f>
        <v>38258.126825387902</v>
      </c>
      <c r="D6" s="181">
        <f t="shared" si="0"/>
        <v>0.99478594001243348</v>
      </c>
      <c r="E6" s="64">
        <f>'Ingreso estructural no oil'!N5</f>
        <v>23082.862730895024</v>
      </c>
      <c r="F6" s="181">
        <f t="shared" ref="F6:F12" si="31">(E6/E5)-1</f>
        <v>-7.4777807926762141E-2</v>
      </c>
      <c r="H6" s="1" t="s">
        <v>204</v>
      </c>
      <c r="I6" s="46">
        <f>SUM('Datos Gastos GC'!B6:B9)</f>
        <v>1059.0999999999999</v>
      </c>
      <c r="J6" s="181">
        <f t="shared" si="1"/>
        <v>5.8676529388244525E-2</v>
      </c>
      <c r="K6" s="64">
        <f t="shared" si="2"/>
        <v>-0.78467838273238355</v>
      </c>
      <c r="L6" s="64">
        <f t="shared" si="3"/>
        <v>1063.4534185381624</v>
      </c>
      <c r="M6" s="27">
        <v>1063.83797508365</v>
      </c>
      <c r="N6" s="1" t="s">
        <v>204</v>
      </c>
      <c r="O6" s="46">
        <f>SUM('Datos Gastos GC'!E6:E9)</f>
        <v>1202.5</v>
      </c>
      <c r="P6" s="64">
        <f t="shared" si="4"/>
        <v>-0.11476737338044751</v>
      </c>
      <c r="Q6" s="64">
        <f t="shared" si="5"/>
        <v>1.5347785200236332</v>
      </c>
      <c r="R6" s="64">
        <f t="shared" si="6"/>
        <v>1192.8905081911153</v>
      </c>
      <c r="T6" s="1" t="s">
        <v>204</v>
      </c>
      <c r="U6" s="46">
        <f>SUM('Datos Gastos GC'!H6:H9)</f>
        <v>152.6</v>
      </c>
      <c r="V6" s="64">
        <f t="shared" si="7"/>
        <v>-9.5971563981042562E-2</v>
      </c>
      <c r="W6" s="64">
        <f t="shared" si="8"/>
        <v>1.2834230721905853</v>
      </c>
      <c r="X6" s="64">
        <f t="shared" si="9"/>
        <v>151.57957995083694</v>
      </c>
      <c r="Z6" s="1" t="s">
        <v>204</v>
      </c>
      <c r="AA6" s="46">
        <f>SUM('Datos Gastos GC'!K6:K9)</f>
        <v>423.1</v>
      </c>
      <c r="AB6" s="64">
        <f t="shared" ref="AB6:AB12" si="32">(AA6/AA5)-1</f>
        <v>-0.13951596501932051</v>
      </c>
      <c r="AC6" s="64">
        <f t="shared" ref="AC6:AC12" si="33">AB6/F6</f>
        <v>1.8657402361401572</v>
      </c>
      <c r="AD6" s="64">
        <f t="shared" si="10"/>
        <v>418.99334062937515</v>
      </c>
      <c r="AF6" s="1" t="s">
        <v>204</v>
      </c>
      <c r="AG6" s="46">
        <f>SUM('Datos Gastos GC'!N6:N9)</f>
        <v>533.9</v>
      </c>
      <c r="AH6" s="64">
        <f t="shared" si="11"/>
        <v>-5.9207048458149836E-2</v>
      </c>
      <c r="AI6" s="64">
        <f t="shared" si="12"/>
        <v>0.79177298853341083</v>
      </c>
      <c r="AJ6" s="64">
        <f t="shared" si="13"/>
        <v>531.694673903428</v>
      </c>
      <c r="AK6" s="27">
        <v>509.36105924361698</v>
      </c>
      <c r="AL6" s="1" t="s">
        <v>204</v>
      </c>
      <c r="AM6" s="46">
        <f>SUM('Datos Gastos GC'!Q6:Q9)</f>
        <v>339.90000000000003</v>
      </c>
      <c r="AN6" s="64">
        <f t="shared" si="14"/>
        <v>-0.16032608695652173</v>
      </c>
      <c r="AO6" s="64">
        <f t="shared" si="15"/>
        <v>2.1440329878825293</v>
      </c>
      <c r="AP6" s="64">
        <f t="shared" si="16"/>
        <v>336.1115483792932</v>
      </c>
      <c r="AQ6" s="27">
        <v>316.78555752949399</v>
      </c>
      <c r="AR6" s="1" t="s">
        <v>204</v>
      </c>
      <c r="AS6" s="46">
        <f>SUM('Datos Gastos GC'!T6:T9)</f>
        <v>3711.1000000000004</v>
      </c>
      <c r="AT6" s="64">
        <f t="shared" si="17"/>
        <v>-7.027257240204432E-2</v>
      </c>
      <c r="AU6" s="64">
        <f t="shared" si="18"/>
        <v>0.93975170375239836</v>
      </c>
      <c r="AV6" s="64">
        <f t="shared" si="19"/>
        <v>3692.9130389306401</v>
      </c>
      <c r="AW6" s="27">
        <v>3571.56060932428</v>
      </c>
      <c r="AY6" s="254" t="s">
        <v>204</v>
      </c>
      <c r="AZ6" s="251">
        <f t="shared" si="20"/>
        <v>1063.4534185381624</v>
      </c>
      <c r="BA6" s="251">
        <f t="shared" si="21"/>
        <v>1192.8905081911153</v>
      </c>
      <c r="BB6" s="251">
        <f t="shared" si="22"/>
        <v>151.57957995083694</v>
      </c>
      <c r="BC6" s="251">
        <f t="shared" si="23"/>
        <v>418.99334062937515</v>
      </c>
      <c r="BD6" s="251">
        <f t="shared" si="24"/>
        <v>531.694673903428</v>
      </c>
      <c r="BE6" s="251">
        <f t="shared" si="25"/>
        <v>336.1115483792932</v>
      </c>
      <c r="BF6" s="251">
        <f t="shared" ref="BF6:BF23" si="34">SUM(AZ6:BE6)</f>
        <v>3694.7230695922112</v>
      </c>
      <c r="BG6" s="64">
        <f t="shared" ref="BG6:BG12" si="35">(I6+O6+U6+AA6+AG6+AM6)</f>
        <v>3711.1</v>
      </c>
      <c r="BH6" s="64">
        <f t="shared" si="26"/>
        <v>2631.2696510540491</v>
      </c>
      <c r="BI6" s="64">
        <f t="shared" si="27"/>
        <v>2826.9168473094901</v>
      </c>
      <c r="BJ6" s="64">
        <f t="shared" si="28"/>
        <v>2837.2999999999997</v>
      </c>
      <c r="BK6" s="64">
        <f t="shared" si="29"/>
        <v>867.80622228272114</v>
      </c>
      <c r="BL6" s="64">
        <f t="shared" si="30"/>
        <v>873.8</v>
      </c>
    </row>
    <row r="7" spans="1:64" hidden="1" x14ac:dyDescent="0.25">
      <c r="A7" s="1" t="s">
        <v>205</v>
      </c>
      <c r="B7" s="220">
        <f>'Ingreso estructural no oil'!K6</f>
        <v>37934.673913091101</v>
      </c>
      <c r="C7" s="40">
        <f>'Ingreso estructural no oil'!L6</f>
        <v>37791.994371668145</v>
      </c>
      <c r="D7" s="181">
        <f t="shared" si="0"/>
        <v>1.0037753906295541</v>
      </c>
      <c r="E7" s="64">
        <f>'Ingreso estructural no oil'!N6</f>
        <v>21149.597436532182</v>
      </c>
      <c r="F7" s="181">
        <f t="shared" si="31"/>
        <v>-8.3753272585868732E-2</v>
      </c>
      <c r="H7" s="1" t="s">
        <v>205</v>
      </c>
      <c r="I7" s="46">
        <f>SUM('Datos Gastos GC'!B7:B10)</f>
        <v>1132.5</v>
      </c>
      <c r="J7" s="181">
        <f t="shared" si="1"/>
        <v>6.9304126144839939E-2</v>
      </c>
      <c r="K7" s="64">
        <f t="shared" si="2"/>
        <v>-0.82747961966244743</v>
      </c>
      <c r="L7" s="64">
        <f t="shared" si="3"/>
        <v>1128.9741652478849</v>
      </c>
      <c r="M7" s="88">
        <v>1068.3584413605499</v>
      </c>
      <c r="N7" s="1" t="s">
        <v>205</v>
      </c>
      <c r="O7" s="46">
        <f>SUM('Datos Gastos GC'!E7:E10)</f>
        <v>1043.8</v>
      </c>
      <c r="P7" s="64">
        <f t="shared" si="4"/>
        <v>-0.13197505197505199</v>
      </c>
      <c r="Q7" s="64">
        <f t="shared" si="5"/>
        <v>1.5757599422726256</v>
      </c>
      <c r="R7" s="64">
        <f t="shared" si="6"/>
        <v>1050.0164257593765</v>
      </c>
      <c r="T7" s="1" t="s">
        <v>205</v>
      </c>
      <c r="U7" s="46">
        <f>SUM('Datos Gastos GC'!H7:H10)</f>
        <v>153.80000000000001</v>
      </c>
      <c r="V7" s="64">
        <f t="shared" si="7"/>
        <v>7.8636959370905757E-3</v>
      </c>
      <c r="W7" s="64">
        <f t="shared" si="8"/>
        <v>-9.3891208000597901E-2</v>
      </c>
      <c r="X7" s="64">
        <f t="shared" si="9"/>
        <v>153.7455938743054</v>
      </c>
      <c r="Z7" s="1" t="s">
        <v>205</v>
      </c>
      <c r="AA7" s="46">
        <f>SUM('Datos Gastos GC'!K7:K10)</f>
        <v>379.09999999999997</v>
      </c>
      <c r="AB7" s="64">
        <f t="shared" si="32"/>
        <v>-0.10399432758213201</v>
      </c>
      <c r="AC7" s="64">
        <f t="shared" si="33"/>
        <v>1.24167479516112</v>
      </c>
      <c r="AD7" s="64">
        <f t="shared" si="10"/>
        <v>380.8779577575321</v>
      </c>
      <c r="AF7" s="1" t="s">
        <v>205</v>
      </c>
      <c r="AG7" s="46">
        <f>SUM('Datos Gastos GC'!N7:N10)</f>
        <v>490.4</v>
      </c>
      <c r="AH7" s="64">
        <f t="shared" si="11"/>
        <v>-8.1475931822438619E-2</v>
      </c>
      <c r="AI7" s="64">
        <f t="shared" si="12"/>
        <v>0.97280893399006885</v>
      </c>
      <c r="AJ7" s="64">
        <f t="shared" si="13"/>
        <v>492.20101629419025</v>
      </c>
      <c r="AK7" s="27">
        <v>496.91984438911601</v>
      </c>
      <c r="AL7" s="1" t="s">
        <v>205</v>
      </c>
      <c r="AM7" s="46">
        <f>SUM('Datos Gastos GC'!Q7:Q10)</f>
        <v>260.60000000000002</v>
      </c>
      <c r="AN7" s="64">
        <f t="shared" si="14"/>
        <v>-0.23330391291556341</v>
      </c>
      <c r="AO7" s="64">
        <f t="shared" si="15"/>
        <v>2.7856095136624859</v>
      </c>
      <c r="AP7" s="64">
        <f t="shared" si="16"/>
        <v>263.34991577981231</v>
      </c>
      <c r="AQ7" s="27">
        <v>315.20891629872801</v>
      </c>
      <c r="AR7" s="1" t="s">
        <v>205</v>
      </c>
      <c r="AS7" s="46">
        <f>SUM('Datos Gastos GC'!T7:T10)</f>
        <v>3460.2</v>
      </c>
      <c r="AT7" s="64">
        <f t="shared" si="17"/>
        <v>-6.7607986850260149E-2</v>
      </c>
      <c r="AU7" s="64">
        <f t="shared" si="18"/>
        <v>0.80722800152011376</v>
      </c>
      <c r="AV7" s="64">
        <f t="shared" si="19"/>
        <v>3470.7414774590006</v>
      </c>
      <c r="AW7" s="27">
        <v>3480.7886217656501</v>
      </c>
      <c r="AY7" s="254" t="s">
        <v>205</v>
      </c>
      <c r="AZ7" s="251">
        <f t="shared" si="20"/>
        <v>1128.9741652478849</v>
      </c>
      <c r="BA7" s="251">
        <f t="shared" si="21"/>
        <v>1050.0164257593765</v>
      </c>
      <c r="BB7" s="251">
        <f t="shared" si="22"/>
        <v>153.7455938743054</v>
      </c>
      <c r="BC7" s="251">
        <f t="shared" si="23"/>
        <v>380.8779577575321</v>
      </c>
      <c r="BD7" s="251">
        <f t="shared" si="24"/>
        <v>492.20101629419025</v>
      </c>
      <c r="BE7" s="251">
        <f t="shared" si="25"/>
        <v>263.34991577981231</v>
      </c>
      <c r="BF7" s="251">
        <f t="shared" si="34"/>
        <v>3469.1650747131011</v>
      </c>
      <c r="BG7" s="64">
        <f t="shared" si="35"/>
        <v>3460.2000000000003</v>
      </c>
      <c r="BH7" s="64">
        <f t="shared" si="26"/>
        <v>2340.1909094652165</v>
      </c>
      <c r="BI7" s="64">
        <f t="shared" si="27"/>
        <v>2713.6141426390986</v>
      </c>
      <c r="BJ7" s="64">
        <f t="shared" si="28"/>
        <v>2709.2000000000003</v>
      </c>
      <c r="BK7" s="64">
        <f t="shared" si="29"/>
        <v>755.5509320740025</v>
      </c>
      <c r="BL7" s="64">
        <f t="shared" si="30"/>
        <v>751</v>
      </c>
    </row>
    <row r="8" spans="1:64" hidden="1" x14ac:dyDescent="0.25">
      <c r="A8" s="1" t="s">
        <v>206</v>
      </c>
      <c r="B8" s="220">
        <f>'Ingreso estructural no oil'!K7</f>
        <v>37847.531641638197</v>
      </c>
      <c r="C8" s="40">
        <f>'Ingreso estructural no oil'!L7</f>
        <v>37318.960999999996</v>
      </c>
      <c r="D8" s="181">
        <f t="shared" si="0"/>
        <v>1.0141635947913503</v>
      </c>
      <c r="E8" s="64">
        <f>'Ingreso estructural no oil'!N7</f>
        <v>19170.316534907597</v>
      </c>
      <c r="F8" s="181">
        <f t="shared" si="31"/>
        <v>-9.3584802621620056E-2</v>
      </c>
      <c r="H8" s="1" t="s">
        <v>206</v>
      </c>
      <c r="I8" s="46">
        <f>SUM('Datos Gastos GC'!B8:B11)</f>
        <v>1158.6000000000001</v>
      </c>
      <c r="J8" s="181">
        <f t="shared" si="1"/>
        <v>2.3046357615894131E-2</v>
      </c>
      <c r="K8" s="64">
        <f t="shared" si="2"/>
        <v>-0.24626175372805603</v>
      </c>
      <c r="L8" s="64">
        <f t="shared" si="3"/>
        <v>1154.5941514162423</v>
      </c>
      <c r="M8" s="88">
        <v>1068.47942067853</v>
      </c>
      <c r="N8" s="1" t="s">
        <v>206</v>
      </c>
      <c r="O8" s="46">
        <f>SUM('Datos Gastos GC'!E8:E11)</f>
        <v>924</v>
      </c>
      <c r="P8" s="64">
        <f t="shared" si="4"/>
        <v>-0.11477294500862234</v>
      </c>
      <c r="Q8" s="64">
        <f t="shared" si="5"/>
        <v>1.2264058030091669</v>
      </c>
      <c r="R8" s="64">
        <f t="shared" si="6"/>
        <v>940.07581171478148</v>
      </c>
      <c r="S8" s="88"/>
      <c r="T8" s="1" t="s">
        <v>206</v>
      </c>
      <c r="U8" s="46">
        <f>SUM('Datos Gastos GC'!H8:H11)</f>
        <v>128.4</v>
      </c>
      <c r="V8" s="64">
        <f t="shared" si="7"/>
        <v>-0.16514954486345901</v>
      </c>
      <c r="W8" s="64">
        <f t="shared" si="8"/>
        <v>1.7647047409095673</v>
      </c>
      <c r="X8" s="64">
        <f t="shared" si="9"/>
        <v>131.62666257342789</v>
      </c>
      <c r="Y8" s="95"/>
      <c r="Z8" s="1" t="s">
        <v>206</v>
      </c>
      <c r="AA8" s="46">
        <f>SUM('Datos Gastos GC'!K8:K11)</f>
        <v>300.89999999999998</v>
      </c>
      <c r="AB8" s="64">
        <f t="shared" si="32"/>
        <v>-0.20627802690582964</v>
      </c>
      <c r="AC8" s="64">
        <f t="shared" si="33"/>
        <v>2.2041829562845612</v>
      </c>
      <c r="AD8" s="64">
        <f t="shared" si="10"/>
        <v>310.37402914593997</v>
      </c>
      <c r="AE8" s="88"/>
      <c r="AF8" s="1" t="s">
        <v>206</v>
      </c>
      <c r="AG8" s="46">
        <f>SUM('Datos Gastos GC'!N8:N11)</f>
        <v>466.79999999999995</v>
      </c>
      <c r="AH8" s="64">
        <f t="shared" si="11"/>
        <v>-4.8123980424143564E-2</v>
      </c>
      <c r="AI8" s="64">
        <f t="shared" si="12"/>
        <v>0.51422858280438277</v>
      </c>
      <c r="AJ8" s="64">
        <f t="shared" si="13"/>
        <v>470.18824160335572</v>
      </c>
      <c r="AK8" s="88">
        <v>487.52508807595399</v>
      </c>
      <c r="AL8" s="1" t="s">
        <v>206</v>
      </c>
      <c r="AM8" s="46">
        <f>SUM('Datos Gastos GC'!Q8:Q11)</f>
        <v>247.1</v>
      </c>
      <c r="AN8" s="64">
        <f t="shared" si="14"/>
        <v>-5.1803530314658564E-2</v>
      </c>
      <c r="AO8" s="64">
        <f t="shared" si="15"/>
        <v>0.55354639710156162</v>
      </c>
      <c r="AP8" s="64">
        <f t="shared" si="16"/>
        <v>249.03123138935831</v>
      </c>
      <c r="AQ8" s="27">
        <v>319.002557243409</v>
      </c>
      <c r="AR8" s="1" t="s">
        <v>206</v>
      </c>
      <c r="AS8" s="46">
        <f>SUM('Datos Gastos GC'!T8:T11)</f>
        <v>3225.8</v>
      </c>
      <c r="AT8" s="64">
        <f t="shared" si="17"/>
        <v>-6.774174903184782E-2</v>
      </c>
      <c r="AU8" s="64">
        <f t="shared" si="18"/>
        <v>0.72385416364812694</v>
      </c>
      <c r="AV8" s="64">
        <f t="shared" si="19"/>
        <v>3258.8078283573236</v>
      </c>
      <c r="AW8" s="27">
        <v>3409.96473809283</v>
      </c>
      <c r="AY8" s="254" t="s">
        <v>206</v>
      </c>
      <c r="AZ8" s="251">
        <f t="shared" si="20"/>
        <v>1154.5941514162423</v>
      </c>
      <c r="BA8" s="251">
        <f t="shared" si="21"/>
        <v>940.07581171478148</v>
      </c>
      <c r="BB8" s="251">
        <f t="shared" si="22"/>
        <v>131.62666257342789</v>
      </c>
      <c r="BC8" s="251">
        <f t="shared" si="23"/>
        <v>310.37402914593997</v>
      </c>
      <c r="BD8" s="251">
        <f t="shared" si="24"/>
        <v>470.18824160335572</v>
      </c>
      <c r="BE8" s="251">
        <f t="shared" si="25"/>
        <v>249.03123138935831</v>
      </c>
      <c r="BF8" s="251">
        <f t="shared" si="34"/>
        <v>3255.8901278431058</v>
      </c>
      <c r="BG8" s="64">
        <f t="shared" si="35"/>
        <v>3225.8000000000006</v>
      </c>
      <c r="BH8" s="64">
        <f t="shared" si="26"/>
        <v>2101.2959764268635</v>
      </c>
      <c r="BI8" s="64">
        <f t="shared" si="27"/>
        <v>2536.6706548503917</v>
      </c>
      <c r="BJ8" s="64">
        <f t="shared" si="28"/>
        <v>2511.9000000000005</v>
      </c>
      <c r="BK8" s="64">
        <f t="shared" si="29"/>
        <v>719.21947299271403</v>
      </c>
      <c r="BL8" s="64">
        <f t="shared" si="30"/>
        <v>713.9</v>
      </c>
    </row>
    <row r="9" spans="1:64" x14ac:dyDescent="0.25">
      <c r="A9" s="1" t="s">
        <v>0</v>
      </c>
      <c r="B9" s="220">
        <f>'Ingreso estructural no oil'!K8</f>
        <v>37811.1165285971</v>
      </c>
      <c r="C9" s="40">
        <f>'Ingreso estructural no oil'!L8</f>
        <v>37278.750856680868</v>
      </c>
      <c r="D9" s="181">
        <f t="shared" si="0"/>
        <v>1.0142806735655636</v>
      </c>
      <c r="E9" s="64">
        <f>'Ingreso estructural no oil'!N8</f>
        <v>18460.179058144</v>
      </c>
      <c r="F9" s="181">
        <f t="shared" si="31"/>
        <v>-3.7043596826922154E-2</v>
      </c>
      <c r="H9" s="1" t="s">
        <v>0</v>
      </c>
      <c r="I9" s="46">
        <f>SUM('Datos Gastos GC'!B9:B12)</f>
        <v>1117.8</v>
      </c>
      <c r="J9" s="181">
        <f t="shared" si="1"/>
        <v>-3.5214914552045729E-2</v>
      </c>
      <c r="K9" s="64">
        <f t="shared" si="2"/>
        <v>0.95063432194717667</v>
      </c>
      <c r="L9" s="64">
        <f t="shared" si="3"/>
        <v>1132.9695932635682</v>
      </c>
      <c r="M9" s="88">
        <v>1063.1598949520301</v>
      </c>
      <c r="N9" s="1" t="s">
        <v>0</v>
      </c>
      <c r="O9" s="46">
        <f>SUM('Datos Gastos GC'!E9:E12)</f>
        <v>799.3</v>
      </c>
      <c r="P9" s="64">
        <f t="shared" si="4"/>
        <v>-0.13495670995671005</v>
      </c>
      <c r="Q9" s="64">
        <f t="shared" si="5"/>
        <v>3.6431859084112381</v>
      </c>
      <c r="R9" s="64">
        <f t="shared" si="6"/>
        <v>841.67630232003785</v>
      </c>
      <c r="S9" s="88"/>
      <c r="T9" s="1" t="s">
        <v>0</v>
      </c>
      <c r="U9" s="46">
        <f>SUM('Datos Gastos GC'!H9:H12)</f>
        <v>123.20000000000002</v>
      </c>
      <c r="V9" s="64">
        <f t="shared" si="7"/>
        <v>-4.049844236760114E-2</v>
      </c>
      <c r="W9" s="64">
        <f t="shared" si="8"/>
        <v>1.0932643111526392</v>
      </c>
      <c r="X9" s="64">
        <f t="shared" si="9"/>
        <v>125.12474167119325</v>
      </c>
      <c r="Y9" s="95"/>
      <c r="Z9" s="1" t="s">
        <v>0</v>
      </c>
      <c r="AA9" s="46">
        <f>SUM('Datos Gastos GC'!K9:K12)</f>
        <v>278.39999999999998</v>
      </c>
      <c r="AB9" s="64">
        <f t="shared" si="32"/>
        <v>-7.4775672981056807E-2</v>
      </c>
      <c r="AC9" s="64">
        <f t="shared" si="33"/>
        <v>2.0185856500498391</v>
      </c>
      <c r="AD9" s="64">
        <f t="shared" si="10"/>
        <v>286.48374476996293</v>
      </c>
      <c r="AE9" s="88"/>
      <c r="AF9" s="1" t="s">
        <v>0</v>
      </c>
      <c r="AG9" s="46">
        <f>SUM('Datos Gastos GC'!N9:N12)</f>
        <v>406.6</v>
      </c>
      <c r="AH9" s="64">
        <f t="shared" si="11"/>
        <v>-0.12896315338474706</v>
      </c>
      <c r="AI9" s="64">
        <f t="shared" si="12"/>
        <v>3.4813885376006626</v>
      </c>
      <c r="AJ9" s="64">
        <f t="shared" si="13"/>
        <v>427.17545278330215</v>
      </c>
      <c r="AK9" s="88">
        <v>482.43560190374399</v>
      </c>
      <c r="AL9" s="1" t="s">
        <v>0</v>
      </c>
      <c r="AM9" s="46">
        <f>SUM('Datos Gastos GC'!Q9:Q12)</f>
        <v>286.7</v>
      </c>
      <c r="AN9" s="64">
        <f t="shared" si="14"/>
        <v>0.16025900445163899</v>
      </c>
      <c r="AO9" s="64">
        <f t="shared" si="15"/>
        <v>-4.3262268834317847</v>
      </c>
      <c r="AP9" s="64">
        <f t="shared" si="16"/>
        <v>269.64112922168408</v>
      </c>
      <c r="AQ9" s="27">
        <v>329.84755046994599</v>
      </c>
      <c r="AR9" s="1" t="s">
        <v>0</v>
      </c>
      <c r="AS9" s="46">
        <f>SUM('Datos Gastos GC'!T9:T12)</f>
        <v>3012</v>
      </c>
      <c r="AT9" s="64">
        <f t="shared" si="17"/>
        <v>-6.6278132556265135E-2</v>
      </c>
      <c r="AU9" s="64">
        <f t="shared" si="18"/>
        <v>1.7891926873606456</v>
      </c>
      <c r="AV9" s="64">
        <f t="shared" si="19"/>
        <v>3089.3924804837679</v>
      </c>
      <c r="AW9" s="27">
        <v>3367.5212341923798</v>
      </c>
      <c r="AY9" s="254" t="s">
        <v>0</v>
      </c>
      <c r="AZ9" s="251">
        <f t="shared" si="20"/>
        <v>1132.9695932635682</v>
      </c>
      <c r="BA9" s="251">
        <f t="shared" si="21"/>
        <v>841.67630232003785</v>
      </c>
      <c r="BB9" s="251">
        <f t="shared" si="22"/>
        <v>125.12474167119325</v>
      </c>
      <c r="BC9" s="251">
        <f t="shared" si="23"/>
        <v>286.48374476996293</v>
      </c>
      <c r="BD9" s="251">
        <f t="shared" si="24"/>
        <v>427.17545278330215</v>
      </c>
      <c r="BE9" s="251">
        <f t="shared" si="25"/>
        <v>269.64112922168408</v>
      </c>
      <c r="BF9" s="251">
        <f t="shared" si="34"/>
        <v>3083.0709640297482</v>
      </c>
      <c r="BG9" s="64">
        <f t="shared" si="35"/>
        <v>3011.9999999999995</v>
      </c>
      <c r="BH9" s="64">
        <f t="shared" si="26"/>
        <v>1950.10137076618</v>
      </c>
      <c r="BI9" s="64">
        <f t="shared" si="27"/>
        <v>2386.254382024762</v>
      </c>
      <c r="BJ9" s="64">
        <f t="shared" si="28"/>
        <v>2318.6999999999998</v>
      </c>
      <c r="BK9" s="64">
        <f t="shared" si="29"/>
        <v>696.81658200498623</v>
      </c>
      <c r="BL9" s="64">
        <f t="shared" si="30"/>
        <v>693.3</v>
      </c>
    </row>
    <row r="10" spans="1:64" x14ac:dyDescent="0.25">
      <c r="A10" s="1" t="s">
        <v>6</v>
      </c>
      <c r="B10" s="220">
        <f>'Ingreso estructural no oil'!K9</f>
        <v>37834.039943398799</v>
      </c>
      <c r="C10" s="40">
        <f>'Ingreso estructural no oil'!L9</f>
        <v>37332.027964823792</v>
      </c>
      <c r="D10" s="181">
        <f t="shared" si="0"/>
        <v>1.013447219611215</v>
      </c>
      <c r="E10" s="64">
        <f>'Ingreso estructural no oil'!N9</f>
        <v>18135.492109517352</v>
      </c>
      <c r="F10" s="181">
        <f t="shared" si="31"/>
        <v>-1.7588504835407193E-2</v>
      </c>
      <c r="H10" s="1" t="s">
        <v>6</v>
      </c>
      <c r="I10" s="46">
        <f>SUM('Datos Gastos GC'!B10:B13)</f>
        <v>1083.1000000000001</v>
      </c>
      <c r="J10" s="181">
        <f t="shared" si="1"/>
        <v>-3.1043120415100933E-2</v>
      </c>
      <c r="K10" s="64">
        <f t="shared" si="2"/>
        <v>1.7649664201478017</v>
      </c>
      <c r="L10" s="64">
        <f t="shared" si="3"/>
        <v>1108.9382541893658</v>
      </c>
      <c r="M10" s="95">
        <v>1052.2640518887499</v>
      </c>
      <c r="N10" s="1" t="s">
        <v>6</v>
      </c>
      <c r="O10" s="46">
        <f>SUM('Datos Gastos GC'!E10:E13)</f>
        <v>688.69999999999993</v>
      </c>
      <c r="P10" s="64">
        <f t="shared" si="4"/>
        <v>-0.13837107469035415</v>
      </c>
      <c r="Q10" s="64">
        <f t="shared" si="5"/>
        <v>7.8671311737539575</v>
      </c>
      <c r="R10" s="64">
        <f t="shared" si="6"/>
        <v>765.01222837304431</v>
      </c>
      <c r="S10" s="88"/>
      <c r="T10" s="1" t="s">
        <v>6</v>
      </c>
      <c r="U10" s="46">
        <f>SUM('Datos Gastos GC'!H10:H13)</f>
        <v>118.1</v>
      </c>
      <c r="V10" s="64">
        <f t="shared" si="7"/>
        <v>-4.1396103896104042E-2</v>
      </c>
      <c r="W10" s="64">
        <f t="shared" si="8"/>
        <v>2.3535885672766272</v>
      </c>
      <c r="X10" s="64">
        <f t="shared" si="9"/>
        <v>121.8718444353965</v>
      </c>
      <c r="Y10" s="95"/>
      <c r="Z10" s="1" t="s">
        <v>6</v>
      </c>
      <c r="AA10" s="46">
        <f>SUM('Datos Gastos GC'!K10:K13)</f>
        <v>335.20000000000005</v>
      </c>
      <c r="AB10" s="64">
        <f t="shared" si="32"/>
        <v>0.2040229885057474</v>
      </c>
      <c r="AC10" s="64">
        <f t="shared" si="33"/>
        <v>-11.599791478297311</v>
      </c>
      <c r="AD10" s="64">
        <f t="shared" si="10"/>
        <v>287.08602190215402</v>
      </c>
      <c r="AE10" s="88"/>
      <c r="AF10" s="1" t="s">
        <v>6</v>
      </c>
      <c r="AG10" s="46">
        <f>SUM('Datos Gastos GC'!N10:N13)</f>
        <v>414.1</v>
      </c>
      <c r="AH10" s="64">
        <f t="shared" si="11"/>
        <v>1.8445646827348838E-2</v>
      </c>
      <c r="AI10" s="64">
        <f t="shared" si="12"/>
        <v>-1.0487330787899687</v>
      </c>
      <c r="AJ10" s="64">
        <f t="shared" si="13"/>
        <v>408.33949539862806</v>
      </c>
      <c r="AK10" s="88">
        <v>482.70494659133698</v>
      </c>
      <c r="AL10" s="1" t="s">
        <v>6</v>
      </c>
      <c r="AM10" s="46">
        <f>SUM('Datos Gastos GC'!Q10:Q13)</f>
        <v>225.4</v>
      </c>
      <c r="AN10" s="64">
        <f t="shared" si="14"/>
        <v>-0.21381234740146493</v>
      </c>
      <c r="AO10" s="64">
        <f t="shared" si="15"/>
        <v>12.15636857153668</v>
      </c>
      <c r="AP10" s="64">
        <f t="shared" si="16"/>
        <v>265.1396346003055</v>
      </c>
      <c r="AQ10" s="27">
        <v>348.70494051231702</v>
      </c>
      <c r="AR10" s="1" t="s">
        <v>6</v>
      </c>
      <c r="AS10" s="46">
        <f>SUM('Datos Gastos GC'!T10:T13)</f>
        <v>2864.6000000000004</v>
      </c>
      <c r="AT10" s="64">
        <f t="shared" si="17"/>
        <v>-4.8937583001327889E-2</v>
      </c>
      <c r="AU10" s="64">
        <f t="shared" si="18"/>
        <v>2.7823617447466185</v>
      </c>
      <c r="AV10" s="64">
        <f t="shared" si="19"/>
        <v>2973.0680183513414</v>
      </c>
      <c r="AW10" s="27">
        <v>3360.0507385699598</v>
      </c>
      <c r="AY10" s="254" t="s">
        <v>6</v>
      </c>
      <c r="AZ10" s="251">
        <f t="shared" si="20"/>
        <v>1108.9382541893658</v>
      </c>
      <c r="BA10" s="251">
        <f t="shared" si="21"/>
        <v>765.01222837304431</v>
      </c>
      <c r="BB10" s="251">
        <f t="shared" si="22"/>
        <v>121.8718444353965</v>
      </c>
      <c r="BC10" s="251">
        <f t="shared" si="23"/>
        <v>287.08602190215402</v>
      </c>
      <c r="BD10" s="251">
        <f t="shared" si="24"/>
        <v>408.33949539862806</v>
      </c>
      <c r="BE10" s="251">
        <f t="shared" si="25"/>
        <v>265.1396346003055</v>
      </c>
      <c r="BF10" s="251">
        <f t="shared" si="34"/>
        <v>2956.3874788988942</v>
      </c>
      <c r="BG10" s="64">
        <f t="shared" si="35"/>
        <v>2864.6000000000004</v>
      </c>
      <c r="BH10" s="64">
        <f t="shared" si="26"/>
        <v>1847.4492247095284</v>
      </c>
      <c r="BI10" s="64">
        <f t="shared" si="27"/>
        <v>2282.9083488999604</v>
      </c>
      <c r="BJ10" s="64">
        <f t="shared" si="28"/>
        <v>2225.1000000000004</v>
      </c>
      <c r="BK10" s="64">
        <f t="shared" si="29"/>
        <v>673.47912999893356</v>
      </c>
      <c r="BL10" s="64">
        <f t="shared" si="30"/>
        <v>639.5</v>
      </c>
    </row>
    <row r="11" spans="1:64" x14ac:dyDescent="0.25">
      <c r="A11" s="1" t="s">
        <v>1</v>
      </c>
      <c r="B11" s="220">
        <f>'Ingreso estructural no oil'!K10</f>
        <v>37919.590090188598</v>
      </c>
      <c r="C11" s="40">
        <f>'Ingreso estructural no oil'!L10</f>
        <v>37511.358950496193</v>
      </c>
      <c r="D11" s="181">
        <f t="shared" si="0"/>
        <v>1.0108828672464558</v>
      </c>
      <c r="E11" s="64">
        <f>'Ingreso estructural no oil'!N10</f>
        <v>18143.500359784499</v>
      </c>
      <c r="F11" s="181">
        <f>F12</f>
        <v>9.6508742383367707E-3</v>
      </c>
      <c r="H11" s="1" t="s">
        <v>1</v>
      </c>
      <c r="I11" s="46">
        <f>SUM('Datos Gastos GC'!B11:B14)</f>
        <v>1124.2</v>
      </c>
      <c r="J11" s="181">
        <f t="shared" si="1"/>
        <v>3.7946634659772771E-2</v>
      </c>
      <c r="K11" s="64">
        <f>J11/F11</f>
        <v>3.9319375346364978</v>
      </c>
      <c r="L11" s="64">
        <f t="shared" si="3"/>
        <v>1173.0782285008004</v>
      </c>
      <c r="M11" s="88">
        <v>1036.2044802468299</v>
      </c>
      <c r="N11" s="1" t="s">
        <v>1</v>
      </c>
      <c r="O11" s="46">
        <f>SUM('Datos Gastos GC'!E11:E14)</f>
        <v>643.79999999999995</v>
      </c>
      <c r="P11" s="64">
        <f t="shared" si="4"/>
        <v>-6.519529548424563E-2</v>
      </c>
      <c r="Q11" s="64">
        <f t="shared" si="5"/>
        <v>-6.7553771683467065</v>
      </c>
      <c r="R11" s="64">
        <f t="shared" si="6"/>
        <v>598.40477703759643</v>
      </c>
      <c r="S11" s="95"/>
      <c r="T11" s="1" t="s">
        <v>1</v>
      </c>
      <c r="U11" s="46">
        <f>SUM('Datos Gastos GC'!H11:H14)</f>
        <v>110.9</v>
      </c>
      <c r="V11" s="64">
        <f t="shared" si="7"/>
        <v>-6.096528365791698E-2</v>
      </c>
      <c r="W11" s="64">
        <f t="shared" si="8"/>
        <v>-6.3170736818578339</v>
      </c>
      <c r="X11" s="64">
        <f t="shared" si="9"/>
        <v>103.57048702387777</v>
      </c>
      <c r="Y11" s="95"/>
      <c r="Z11" s="1" t="s">
        <v>1</v>
      </c>
      <c r="AA11" s="46">
        <f>SUM('Datos Gastos GC'!K11:K14)</f>
        <v>428.5</v>
      </c>
      <c r="AB11" s="64">
        <f t="shared" si="32"/>
        <v>0.27834128878281605</v>
      </c>
      <c r="AC11" s="64">
        <f t="shared" si="33"/>
        <v>28.841044024503351</v>
      </c>
      <c r="AD11" s="64">
        <f t="shared" si="10"/>
        <v>585.50127581006655</v>
      </c>
      <c r="AE11" s="95"/>
      <c r="AF11" s="1" t="s">
        <v>1</v>
      </c>
      <c r="AG11" s="46">
        <f>SUM('Datos Gastos GC'!N11:N14)</f>
        <v>434</v>
      </c>
      <c r="AH11" s="64">
        <f t="shared" si="11"/>
        <v>4.8056025114706635E-2</v>
      </c>
      <c r="AI11" s="64">
        <f t="shared" si="12"/>
        <v>4.979447864299245</v>
      </c>
      <c r="AJ11" s="64">
        <f t="shared" si="13"/>
        <v>458.03355760616427</v>
      </c>
      <c r="AK11" s="95">
        <v>488.63232683854898</v>
      </c>
      <c r="AL11" s="1" t="s">
        <v>1</v>
      </c>
      <c r="AM11" s="46">
        <f>SUM('Datos Gastos GC'!Q11:Q14)</f>
        <v>218.20000000000002</v>
      </c>
      <c r="AN11" s="64">
        <f t="shared" si="14"/>
        <v>-3.1943212067435667E-2</v>
      </c>
      <c r="AO11" s="64">
        <f t="shared" si="15"/>
        <v>-3.3098775591278198</v>
      </c>
      <c r="AP11" s="64">
        <f t="shared" si="16"/>
        <v>210.52106311306474</v>
      </c>
      <c r="AQ11" s="27">
        <v>376.107296399799</v>
      </c>
      <c r="AR11" s="1" t="s">
        <v>1</v>
      </c>
      <c r="AS11" s="46">
        <f>SUM('Datos Gastos GC'!T11:T14)</f>
        <v>2959.6</v>
      </c>
      <c r="AT11" s="64">
        <f t="shared" si="17"/>
        <v>3.3163443412692617E-2</v>
      </c>
      <c r="AU11" s="64">
        <f t="shared" si="18"/>
        <v>3.4363149486453155</v>
      </c>
      <c r="AV11" s="64">
        <f t="shared" si="19"/>
        <v>3071.7549857001313</v>
      </c>
      <c r="AW11" s="27">
        <v>3390.59066738929</v>
      </c>
      <c r="AY11" s="254" t="s">
        <v>1</v>
      </c>
      <c r="AZ11" s="251">
        <f t="shared" si="20"/>
        <v>1173.0782285008004</v>
      </c>
      <c r="BA11" s="251">
        <f t="shared" si="21"/>
        <v>598.40477703759643</v>
      </c>
      <c r="BB11" s="251">
        <f t="shared" si="22"/>
        <v>103.57048702387777</v>
      </c>
      <c r="BC11" s="251">
        <f t="shared" si="23"/>
        <v>585.50127581006655</v>
      </c>
      <c r="BD11" s="251">
        <f t="shared" si="24"/>
        <v>458.03355760616427</v>
      </c>
      <c r="BE11" s="251">
        <f t="shared" si="25"/>
        <v>210.52106311306474</v>
      </c>
      <c r="BF11" s="251">
        <f t="shared" si="34"/>
        <v>3129.1093890915704</v>
      </c>
      <c r="BG11" s="64">
        <f t="shared" si="35"/>
        <v>2959.6</v>
      </c>
      <c r="BH11" s="64">
        <f t="shared" si="26"/>
        <v>1956.03116059077</v>
      </c>
      <c r="BI11" s="64">
        <f t="shared" si="27"/>
        <v>2460.5547683723412</v>
      </c>
      <c r="BJ11" s="64">
        <f t="shared" si="28"/>
        <v>2307.4</v>
      </c>
      <c r="BK11" s="64">
        <f t="shared" si="29"/>
        <v>668.55462071922898</v>
      </c>
      <c r="BL11" s="64">
        <f t="shared" si="30"/>
        <v>652.20000000000005</v>
      </c>
    </row>
    <row r="12" spans="1:64" x14ac:dyDescent="0.25">
      <c r="A12" s="98" t="s">
        <v>2</v>
      </c>
      <c r="B12" s="220">
        <f>'Ingreso estructural no oil'!K11</f>
        <v>38066.0347736775</v>
      </c>
      <c r="C12" s="40">
        <f>'Ingreso estructural no oil'!L11</f>
        <v>37726.409999999996</v>
      </c>
      <c r="D12" s="12">
        <f>B12/C12</f>
        <v>1.0090023082948392</v>
      </c>
      <c r="E12" s="64">
        <f>'Ingreso estructural no oil'!N11</f>
        <v>18318.600999999999</v>
      </c>
      <c r="F12" s="181">
        <f t="shared" si="31"/>
        <v>9.6508742383367707E-3</v>
      </c>
      <c r="H12" s="98" t="s">
        <v>2</v>
      </c>
      <c r="I12" s="46">
        <f>SUM('Datos Gastos GC'!B12:B15)</f>
        <v>1015.1</v>
      </c>
      <c r="J12" s="181">
        <f t="shared" si="1"/>
        <v>-9.7046788827610753E-2</v>
      </c>
      <c r="K12" s="64">
        <f>J12/F12</f>
        <v>-10.055751057464382</v>
      </c>
      <c r="L12" s="64">
        <f>I12*((D12)^K12)</f>
        <v>927.62028689657893</v>
      </c>
      <c r="M12" s="95">
        <v>1015.70112826555</v>
      </c>
      <c r="N12" s="98" t="s">
        <v>2</v>
      </c>
      <c r="O12" s="46">
        <f>SUM('Datos Gastos GC'!E12:E15)</f>
        <v>709.4</v>
      </c>
      <c r="P12" s="64">
        <f t="shared" si="4"/>
        <v>0.10189499844672256</v>
      </c>
      <c r="Q12" s="64">
        <f t="shared" si="5"/>
        <v>10.55811068824819</v>
      </c>
      <c r="R12" s="64">
        <f t="shared" si="6"/>
        <v>779.80324455901973</v>
      </c>
      <c r="S12" s="88"/>
      <c r="T12" s="98" t="s">
        <v>2</v>
      </c>
      <c r="U12" s="46">
        <f>SUM('Datos Gastos GC'!H12:H15)</f>
        <v>175</v>
      </c>
      <c r="V12" s="64">
        <f t="shared" si="7"/>
        <v>0.5779981965734895</v>
      </c>
      <c r="W12" s="64">
        <f t="shared" si="8"/>
        <v>59.890760391164477</v>
      </c>
      <c r="X12" s="64">
        <f t="shared" si="9"/>
        <v>299.324631899574</v>
      </c>
      <c r="Y12" s="95"/>
      <c r="Z12" s="98" t="s">
        <v>2</v>
      </c>
      <c r="AA12" s="46">
        <f>SUM('Datos Gastos GC'!K12:K15)</f>
        <v>682.40000000000009</v>
      </c>
      <c r="AB12" s="64">
        <f t="shared" si="32"/>
        <v>0.59253208868144713</v>
      </c>
      <c r="AC12" s="64">
        <f t="shared" si="33"/>
        <v>61.396726767788032</v>
      </c>
      <c r="AD12" s="64">
        <f>AA12*((D12)^AC12)</f>
        <v>1183.0548718429195</v>
      </c>
      <c r="AE12" s="88"/>
      <c r="AF12" s="98" t="s">
        <v>2</v>
      </c>
      <c r="AG12" s="46">
        <f>SUM('Datos Gastos GC'!N12:N15)</f>
        <v>425.3</v>
      </c>
      <c r="AH12" s="64">
        <f t="shared" si="11"/>
        <v>-2.0046082949308763E-2</v>
      </c>
      <c r="AI12" s="64">
        <f t="shared" si="12"/>
        <v>-2.0771261187591126</v>
      </c>
      <c r="AJ12" s="64">
        <f t="shared" si="13"/>
        <v>417.45616200496522</v>
      </c>
      <c r="AK12" s="88">
        <v>499.82989787928102</v>
      </c>
      <c r="AL12" s="98" t="s">
        <v>2</v>
      </c>
      <c r="AM12" s="46">
        <f>SUM('Datos Gastos GC'!Q12:Q15)</f>
        <v>233.7</v>
      </c>
      <c r="AN12" s="64">
        <f t="shared" si="14"/>
        <v>7.1035747021081397E-2</v>
      </c>
      <c r="AO12" s="64">
        <f t="shared" si="15"/>
        <v>7.3605504814166638</v>
      </c>
      <c r="AP12" s="64">
        <f t="shared" si="16"/>
        <v>249.63596307839038</v>
      </c>
      <c r="AQ12" s="27">
        <v>411.35013775654602</v>
      </c>
      <c r="AR12" s="98" t="s">
        <v>2</v>
      </c>
      <c r="AS12" s="46">
        <f>SUM('Datos Gastos GC'!T12:T15)</f>
        <v>3240.9000000000005</v>
      </c>
      <c r="AT12" s="64">
        <f t="shared" si="17"/>
        <v>9.5046627922692473E-2</v>
      </c>
      <c r="AU12" s="64">
        <f t="shared" si="18"/>
        <v>9.8484992732713081</v>
      </c>
      <c r="AV12" s="64">
        <f t="shared" si="19"/>
        <v>3539.9535508636227</v>
      </c>
      <c r="AW12" s="27">
        <v>3457.2279294283799</v>
      </c>
      <c r="AY12" s="254" t="s">
        <v>2</v>
      </c>
      <c r="AZ12" s="251">
        <f t="shared" si="20"/>
        <v>927.62028689657893</v>
      </c>
      <c r="BA12" s="251">
        <f t="shared" si="21"/>
        <v>779.80324455901973</v>
      </c>
      <c r="BB12" s="251">
        <f t="shared" si="22"/>
        <v>299.324631899574</v>
      </c>
      <c r="BC12" s="251">
        <f t="shared" si="23"/>
        <v>1183.0548718429195</v>
      </c>
      <c r="BD12" s="251">
        <f t="shared" si="24"/>
        <v>417.45616200496522</v>
      </c>
      <c r="BE12" s="251">
        <f t="shared" si="25"/>
        <v>249.63596307839038</v>
      </c>
      <c r="BF12" s="251">
        <f t="shared" si="34"/>
        <v>3856.8951602814477</v>
      </c>
      <c r="BG12" s="64">
        <f t="shared" si="35"/>
        <v>3240.9</v>
      </c>
      <c r="BH12" s="64">
        <f t="shared" si="26"/>
        <v>2929.2748733848689</v>
      </c>
      <c r="BI12" s="64">
        <f t="shared" si="27"/>
        <v>3189.8030351980919</v>
      </c>
      <c r="BJ12" s="64">
        <f t="shared" si="28"/>
        <v>2581.9</v>
      </c>
      <c r="BK12" s="64">
        <f t="shared" si="29"/>
        <v>667.09212508335554</v>
      </c>
      <c r="BL12" s="64">
        <f t="shared" si="30"/>
        <v>659</v>
      </c>
    </row>
    <row r="13" spans="1:64" x14ac:dyDescent="0.25">
      <c r="A13" s="98" t="s">
        <v>3</v>
      </c>
      <c r="B13" s="220">
        <f>'Ingreso estructural no oil'!K12</f>
        <v>38267.559897674801</v>
      </c>
      <c r="C13" s="40">
        <f>'Ingreso estructural no oil'!L12</f>
        <v>38291.185999999994</v>
      </c>
      <c r="D13" s="12">
        <f>B13/C13</f>
        <v>0.99938298849439677</v>
      </c>
      <c r="E13" s="64">
        <f>'Ingreso estructural no oil'!N12</f>
        <v>20403.557000000001</v>
      </c>
      <c r="F13" s="12">
        <f>(E13/E12)-1</f>
        <v>0.1138163334634561</v>
      </c>
      <c r="H13" s="98" t="s">
        <v>3</v>
      </c>
      <c r="I13" s="46">
        <f>SUM('Datos Gastos GC'!B13:B16)</f>
        <v>941.4</v>
      </c>
      <c r="J13" s="12">
        <f>(I13/I12)-1</f>
        <v>-7.2603684366072341E-2</v>
      </c>
      <c r="K13" s="64">
        <f>J13/F13</f>
        <v>-0.63790215478504919</v>
      </c>
      <c r="L13" s="64">
        <f>I13*((D13)^K13)</f>
        <v>941.77071575144691</v>
      </c>
      <c r="M13" s="27">
        <v>992.35189938171402</v>
      </c>
      <c r="N13" s="98" t="s">
        <v>3</v>
      </c>
      <c r="O13" s="46">
        <f>SUM('Datos Gastos GC'!E13:E16)</f>
        <v>820.90000000000009</v>
      </c>
      <c r="P13" s="64">
        <f>(O13/O12)-1</f>
        <v>0.15717507753030757</v>
      </c>
      <c r="Q13" s="64">
        <f>P13/F13</f>
        <v>1.3809536184081435</v>
      </c>
      <c r="R13" s="64">
        <f>O13*((D13)^Q13)</f>
        <v>820.20062265514184</v>
      </c>
      <c r="S13" s="95"/>
      <c r="T13" s="98" t="s">
        <v>3</v>
      </c>
      <c r="U13" s="46">
        <f>SUM('Datos Gastos GC'!H13:H16)</f>
        <v>186.6</v>
      </c>
      <c r="V13" s="64">
        <f>(U13/U12)-1</f>
        <v>6.6285714285714281E-2</v>
      </c>
      <c r="W13" s="64">
        <f>V13/F13</f>
        <v>0.5823919315323679</v>
      </c>
      <c r="X13" s="64">
        <f>U13*((D13)^W13)</f>
        <v>186.53293804399729</v>
      </c>
      <c r="Y13" s="95"/>
      <c r="Z13" s="98" t="s">
        <v>3</v>
      </c>
      <c r="AA13" s="46">
        <f>SUM('Datos Gastos GC'!K13:K16)</f>
        <v>711.8</v>
      </c>
      <c r="AB13" s="64">
        <f>(AA13/AA12)-1</f>
        <v>4.3083235638921247E-2</v>
      </c>
      <c r="AC13" s="64">
        <f>AB13/F13</f>
        <v>0.37853297789419932</v>
      </c>
      <c r="AD13" s="64">
        <f>AA13*((D13)^AC13)</f>
        <v>711.63372067496562</v>
      </c>
      <c r="AE13" s="95"/>
      <c r="AF13" s="98" t="s">
        <v>3</v>
      </c>
      <c r="AG13" s="46">
        <f>SUM('Datos Gastos GC'!N13:N16)</f>
        <v>506.2</v>
      </c>
      <c r="AH13" s="64">
        <f>(AG13/AG12)-1</f>
        <v>0.19021866917470009</v>
      </c>
      <c r="AI13" s="64">
        <f>AH13/F13</f>
        <v>1.6712774290499799</v>
      </c>
      <c r="AJ13" s="64">
        <f>AG13*((D13)^AI13)</f>
        <v>505.67811598291178</v>
      </c>
      <c r="AK13" s="95">
        <v>515.36349167904996</v>
      </c>
      <c r="AL13" s="98" t="s">
        <v>3</v>
      </c>
      <c r="AM13" s="46">
        <f>SUM('Datos Gastos GC'!Q13:Q16)</f>
        <v>457.3</v>
      </c>
      <c r="AN13" s="64">
        <f>(AM13/AM12)-1</f>
        <v>0.95678219940094156</v>
      </c>
      <c r="AO13" s="64">
        <f>AN13/F13</f>
        <v>8.406369896884291</v>
      </c>
      <c r="AP13" s="64">
        <f>AM13*((D13)^AO13)</f>
        <v>454.93347655706009</v>
      </c>
      <c r="AQ13" s="27">
        <v>452.147911242715</v>
      </c>
      <c r="AR13" s="98" t="s">
        <v>3</v>
      </c>
      <c r="AS13" s="46">
        <f>SUM('Datos Gastos GC'!T13:T16)</f>
        <v>3624.2000000000003</v>
      </c>
      <c r="AT13" s="64">
        <f>(AS13/AS12)-1</f>
        <v>0.11826961646456224</v>
      </c>
      <c r="AU13" s="64">
        <f>AT13/F13</f>
        <v>1.0391269237515546</v>
      </c>
      <c r="AV13" s="64">
        <f>AS13*((D13)^AU13)</f>
        <v>3621.8763603813295</v>
      </c>
      <c r="AW13" s="27">
        <v>3553.7435267913802</v>
      </c>
      <c r="AY13" s="255" t="s">
        <v>3</v>
      </c>
      <c r="AZ13" s="251">
        <f>L13</f>
        <v>941.77071575144691</v>
      </c>
      <c r="BA13" s="251">
        <f>R13</f>
        <v>820.20062265514184</v>
      </c>
      <c r="BB13" s="251">
        <f>X13</f>
        <v>186.53293804399729</v>
      </c>
      <c r="BC13" s="251">
        <f>AD13</f>
        <v>711.63372067496562</v>
      </c>
      <c r="BD13" s="251">
        <f>AJ13</f>
        <v>505.67811598291178</v>
      </c>
      <c r="BE13" s="251">
        <f>AP13</f>
        <v>454.93347655706009</v>
      </c>
      <c r="BF13" s="251">
        <f t="shared" si="34"/>
        <v>3620.7495896655237</v>
      </c>
      <c r="BG13" s="64">
        <f>(I13+O13+U13+AA13+AG13+AM13)</f>
        <v>3624.2</v>
      </c>
      <c r="BH13" s="64">
        <f>BF13-AZ13</f>
        <v>2678.9788739140768</v>
      </c>
      <c r="BI13" s="64">
        <f>SUM(AZ13:BC13)</f>
        <v>2660.1379971255519</v>
      </c>
      <c r="BJ13" s="64">
        <f>I13+O13+U13+AA13</f>
        <v>2660.7</v>
      </c>
      <c r="BK13" s="64">
        <f>SUM(BD13:BE13)</f>
        <v>960.61159253997187</v>
      </c>
      <c r="BL13" s="64">
        <f>AG13+AM13</f>
        <v>963.5</v>
      </c>
    </row>
    <row r="14" spans="1:64" x14ac:dyDescent="0.25">
      <c r="A14" s="98" t="s">
        <v>4</v>
      </c>
      <c r="B14" s="220">
        <f>'Ingreso estructural no oil'!K13</f>
        <v>38514.955018252898</v>
      </c>
      <c r="C14" s="40">
        <f>'Ingreso estructural no oil'!L13</f>
        <v>38773.184999999998</v>
      </c>
      <c r="D14" s="12">
        <f t="shared" ref="D14:D44" si="36">B14/C14</f>
        <v>0.9933399853082201</v>
      </c>
      <c r="E14" s="64">
        <f>'Ingreso estructural no oil'!N13</f>
        <v>22070.698</v>
      </c>
      <c r="F14" s="12">
        <f>(E14/E13)-1</f>
        <v>8.1708351146812186E-2</v>
      </c>
      <c r="H14" s="98" t="s">
        <v>4</v>
      </c>
      <c r="I14" s="46">
        <f>SUM('Datos Gastos GC'!B14:B17)</f>
        <v>994.7</v>
      </c>
      <c r="J14" s="12">
        <f>(I14/I13)-1</f>
        <v>5.6617803271723055E-2</v>
      </c>
      <c r="K14" s="64">
        <f>J14/F14</f>
        <v>0.69292553915319066</v>
      </c>
      <c r="L14" s="64">
        <f>I14*((D14)^K14)</f>
        <v>990.10485699887192</v>
      </c>
      <c r="M14" s="27">
        <v>967.74768574945597</v>
      </c>
      <c r="N14" s="98" t="s">
        <v>4</v>
      </c>
      <c r="O14" s="46">
        <f>SUM('Datos Gastos GC'!E14:E17)</f>
        <v>960</v>
      </c>
      <c r="P14" s="64">
        <f>(O14/O13)-1</f>
        <v>0.16944816664636364</v>
      </c>
      <c r="Q14" s="64">
        <f>P14/F14</f>
        <v>2.0738169877140469</v>
      </c>
      <c r="R14" s="64">
        <f>O14*((D14)^Q14)</f>
        <v>946.78821911671798</v>
      </c>
      <c r="T14" s="98" t="s">
        <v>4</v>
      </c>
      <c r="U14" s="46">
        <f>SUM('Datos Gastos GC'!H14:H17)</f>
        <v>203.6</v>
      </c>
      <c r="V14" s="64">
        <f>(U14/U13)-1</f>
        <v>9.1103965702036493E-2</v>
      </c>
      <c r="W14" s="64">
        <f>V14/F14</f>
        <v>1.1149896482226453</v>
      </c>
      <c r="X14" s="64">
        <f>U14*((D14)^W14)</f>
        <v>202.08867753481735</v>
      </c>
      <c r="Z14" s="98" t="s">
        <v>4</v>
      </c>
      <c r="AA14" s="46">
        <f>SUM('Datos Gastos GC'!K14:K17)</f>
        <v>675.40000000000009</v>
      </c>
      <c r="AB14" s="64">
        <f>(AA14/AA13)-1</f>
        <v>-5.1137960101151791E-2</v>
      </c>
      <c r="AC14" s="64">
        <f>AB14/F14</f>
        <v>-0.62585965061598137</v>
      </c>
      <c r="AD14" s="64">
        <f>AA14*((D14)^AC14)</f>
        <v>678.2305569333173</v>
      </c>
      <c r="AF14" s="98" t="s">
        <v>4</v>
      </c>
      <c r="AG14" s="46">
        <f>SUM('Datos Gastos GC'!N14:N17)</f>
        <v>549.6</v>
      </c>
      <c r="AH14" s="64">
        <f>(AG14/AG13)-1</f>
        <v>8.5736862900039679E-2</v>
      </c>
      <c r="AI14" s="64">
        <f>AH14/F14</f>
        <v>1.0493035497190384</v>
      </c>
      <c r="AJ14" s="64">
        <f>AG14*((D14)^AI14)</f>
        <v>545.75981989361867</v>
      </c>
      <c r="AK14" s="27">
        <v>533.55064122457895</v>
      </c>
      <c r="AL14" s="98" t="s">
        <v>4</v>
      </c>
      <c r="AM14" s="46">
        <f>SUM('Datos Gastos GC'!Q14:Q17)</f>
        <v>602</v>
      </c>
      <c r="AN14" s="64">
        <f>(AM14/AM13)-1</f>
        <v>0.31642247977257809</v>
      </c>
      <c r="AO14" s="64">
        <f>AN14/F14</f>
        <v>3.8725843237741455</v>
      </c>
      <c r="AP14" s="64">
        <f>AM14*((D14)^AO14)</f>
        <v>586.62144135261826</v>
      </c>
      <c r="AQ14" s="27">
        <v>494.441562140896</v>
      </c>
      <c r="AR14" s="98" t="s">
        <v>4</v>
      </c>
      <c r="AS14" s="46">
        <f>SUM('Datos Gastos GC'!T14:T17)</f>
        <v>3985.3</v>
      </c>
      <c r="AT14" s="64">
        <f>(AS14/AS13)-1</f>
        <v>9.9635781689752179E-2</v>
      </c>
      <c r="AU14" s="64">
        <f>AT14/F14</f>
        <v>1.2194075671742328</v>
      </c>
      <c r="AV14" s="64">
        <f>AS14*((D14)^AU14)</f>
        <v>3952.9579818709062</v>
      </c>
      <c r="AW14" s="27">
        <v>3671.7561822881198</v>
      </c>
      <c r="AY14" s="255" t="s">
        <v>4</v>
      </c>
      <c r="AZ14" s="251">
        <f t="shared" ref="AZ14:AZ45" si="37">L14</f>
        <v>990.10485699887192</v>
      </c>
      <c r="BA14" s="251">
        <f t="shared" ref="BA14:BA45" si="38">R14</f>
        <v>946.78821911671798</v>
      </c>
      <c r="BB14" s="251">
        <f t="shared" ref="BB14:BB45" si="39">X14</f>
        <v>202.08867753481735</v>
      </c>
      <c r="BC14" s="251">
        <f t="shared" ref="BC14:BC45" si="40">AD14</f>
        <v>678.2305569333173</v>
      </c>
      <c r="BD14" s="251">
        <f t="shared" ref="BD14:BD45" si="41">AJ14</f>
        <v>545.75981989361867</v>
      </c>
      <c r="BE14" s="251">
        <f t="shared" ref="BE14:BE45" si="42">AP14</f>
        <v>586.62144135261826</v>
      </c>
      <c r="BF14" s="251">
        <f t="shared" si="34"/>
        <v>3949.5935718299611</v>
      </c>
      <c r="BG14" s="64">
        <f t="shared" ref="BG14:BG45" si="43">(I14+O14+U14+AA14+AG14+AM14)</f>
        <v>3985.3</v>
      </c>
      <c r="BH14" s="64">
        <f>BF14-AZ14</f>
        <v>2959.4887148310891</v>
      </c>
      <c r="BI14" s="64">
        <f>SUM(AZ14:BC14)</f>
        <v>2817.2123105837245</v>
      </c>
      <c r="BJ14" s="64">
        <f t="shared" ref="BJ14:BJ44" si="44">I14+O14+U14+AA14</f>
        <v>2833.7000000000003</v>
      </c>
      <c r="BK14" s="64">
        <f>SUM(BD14:BE14)</f>
        <v>1132.381261246237</v>
      </c>
      <c r="BL14" s="64">
        <f t="shared" ref="BL14:BL44" si="45">AG14+AM14</f>
        <v>1151.5999999999999</v>
      </c>
    </row>
    <row r="15" spans="1:64" x14ac:dyDescent="0.25">
      <c r="A15" s="98" t="s">
        <v>5</v>
      </c>
      <c r="B15" s="220">
        <f>'Ingreso estructural no oil'!K14</f>
        <v>38799.246092507703</v>
      </c>
      <c r="C15" s="40">
        <f>'Ingreso estructural no oil'!L14</f>
        <v>39034.176999999996</v>
      </c>
      <c r="D15" s="12">
        <f t="shared" si="36"/>
        <v>0.99398140487265063</v>
      </c>
      <c r="E15" s="64">
        <f>'Ingreso estructural no oil'!N14</f>
        <v>23323.653999999999</v>
      </c>
      <c r="F15" s="12">
        <f t="shared" ref="F15:F62" si="46">(E15/E14)-1</f>
        <v>5.6770112118792015E-2</v>
      </c>
      <c r="H15" s="98" t="s">
        <v>5</v>
      </c>
      <c r="I15" s="46">
        <f>SUM('Datos Gastos GC'!B15:B18)</f>
        <v>851.09999999999991</v>
      </c>
      <c r="J15" s="12">
        <f t="shared" ref="J15:J62" si="47">(I15/I14)-1</f>
        <v>-0.1443651352166484</v>
      </c>
      <c r="K15" s="64">
        <f t="shared" ref="K15:K62" si="48">J15/F15</f>
        <v>-2.5429778069587559</v>
      </c>
      <c r="L15" s="64">
        <f t="shared" ref="L15:L62" si="49">I15*((D15)^K15)</f>
        <v>864.26637676056282</v>
      </c>
      <c r="M15" s="27">
        <v>942.96586052911005</v>
      </c>
      <c r="N15" s="98" t="s">
        <v>5</v>
      </c>
      <c r="O15" s="46">
        <f>SUM('Datos Gastos GC'!E15:E18)</f>
        <v>1000.2</v>
      </c>
      <c r="P15" s="64">
        <f t="shared" ref="P15:P59" si="50">(O15/O14)-1</f>
        <v>4.1875000000000107E-2</v>
      </c>
      <c r="Q15" s="64">
        <f t="shared" ref="Q15:Q59" si="51">P15/F15</f>
        <v>0.73762404964739647</v>
      </c>
      <c r="R15" s="64">
        <f t="shared" ref="R15:R59" si="52">O15*((D15)^Q15)</f>
        <v>995.7561367334971</v>
      </c>
      <c r="T15" s="98" t="s">
        <v>5</v>
      </c>
      <c r="U15" s="46">
        <f>SUM('Datos Gastos GC'!H15:H18)</f>
        <v>188.5</v>
      </c>
      <c r="V15" s="64">
        <f t="shared" ref="V15:V59" si="53">(U15/U14)-1</f>
        <v>-7.4165029469548061E-2</v>
      </c>
      <c r="W15" s="64">
        <f t="shared" ref="W15:W59" si="54">V15/F15</f>
        <v>-1.3064097762279738</v>
      </c>
      <c r="X15" s="64">
        <f t="shared" ref="X15:X59" si="55">U15*((D15)^W15)</f>
        <v>189.99248431284795</v>
      </c>
      <c r="Z15" s="98" t="s">
        <v>5</v>
      </c>
      <c r="AA15" s="46">
        <f>SUM('Datos Gastos GC'!K15:K18)</f>
        <v>615.90000000000009</v>
      </c>
      <c r="AB15" s="64">
        <f t="shared" ref="AB15:AB59" si="56">(AA15/AA14)-1</f>
        <v>-8.8095943144803068E-2</v>
      </c>
      <c r="AC15" s="64">
        <f t="shared" ref="AC15:AC59" si="57">AB15/F15</f>
        <v>-1.5518014648352543</v>
      </c>
      <c r="AD15" s="64">
        <f t="shared" ref="AD15:AD59" si="58">AA15*((D15)^AC15)</f>
        <v>621.69678909326365</v>
      </c>
      <c r="AF15" s="98" t="s">
        <v>5</v>
      </c>
      <c r="AG15" s="46">
        <f>SUM('Datos Gastos GC'!N15:N18)</f>
        <v>570.70000000000005</v>
      </c>
      <c r="AH15" s="64">
        <f t="shared" ref="AH15:AH59" si="59">(AG15/AG14)-1</f>
        <v>3.8391557496361139E-2</v>
      </c>
      <c r="AI15" s="64">
        <f t="shared" ref="AI15:AI59" si="60">AH15/F15</f>
        <v>0.67626354896087626</v>
      </c>
      <c r="AJ15" s="64">
        <f t="shared" ref="AJ15:AJ59" si="61">AG15*((D15)^AI15)</f>
        <v>568.37489270039725</v>
      </c>
      <c r="AK15" s="27">
        <v>552.615244585803</v>
      </c>
      <c r="AL15" s="98" t="s">
        <v>5</v>
      </c>
      <c r="AM15" s="46">
        <f>SUM('Datos Gastos GC'!Q15:Q18)</f>
        <v>697.2</v>
      </c>
      <c r="AN15" s="64">
        <f t="shared" ref="AN15:AN59" si="62">(AM15/AM14)-1</f>
        <v>0.1581395348837209</v>
      </c>
      <c r="AO15" s="64">
        <f t="shared" ref="AO15:AO59" si="63">AN15/F15</f>
        <v>2.7856125165441346</v>
      </c>
      <c r="AP15" s="64">
        <f t="shared" ref="AP15:AP59" si="64">AM15*((D15)^AO15)</f>
        <v>685.5738220916071</v>
      </c>
      <c r="AQ15" s="27">
        <v>534.22055662125194</v>
      </c>
      <c r="AR15" s="98" t="s">
        <v>5</v>
      </c>
      <c r="AS15" s="46">
        <f>SUM('Datos Gastos GC'!T15:T18)</f>
        <v>3923.6</v>
      </c>
      <c r="AT15" s="64">
        <f t="shared" ref="AT15:AT59" si="65">(AS15/AS14)-1</f>
        <v>-1.5481895967681347E-2</v>
      </c>
      <c r="AU15" s="64">
        <f t="shared" ref="AU15:AU59" si="66">AT15/F15</f>
        <v>-0.27271209074389935</v>
      </c>
      <c r="AV15" s="64">
        <f t="shared" ref="AV15:AV59" si="67">AS15*((D15)^AU15)</f>
        <v>3930.0647539139318</v>
      </c>
      <c r="AW15" s="27">
        <v>3803.58718346055</v>
      </c>
      <c r="AY15" s="255" t="s">
        <v>5</v>
      </c>
      <c r="AZ15" s="251">
        <f t="shared" si="37"/>
        <v>864.26637676056282</v>
      </c>
      <c r="BA15" s="251">
        <f t="shared" si="38"/>
        <v>995.7561367334971</v>
      </c>
      <c r="BB15" s="251">
        <f t="shared" si="39"/>
        <v>189.99248431284795</v>
      </c>
      <c r="BC15" s="251">
        <f t="shared" si="40"/>
        <v>621.69678909326365</v>
      </c>
      <c r="BD15" s="251">
        <f t="shared" si="41"/>
        <v>568.37489270039725</v>
      </c>
      <c r="BE15" s="251">
        <f t="shared" si="42"/>
        <v>685.5738220916071</v>
      </c>
      <c r="BF15" s="251">
        <f t="shared" si="34"/>
        <v>3925.6605016921758</v>
      </c>
      <c r="BG15" s="64">
        <f t="shared" si="43"/>
        <v>3923.5999999999995</v>
      </c>
      <c r="BH15" s="64">
        <f t="shared" ref="BH15:BH58" si="68">BF15-AZ15</f>
        <v>3061.3941249316131</v>
      </c>
      <c r="BI15" s="64">
        <f t="shared" ref="BI15:BI60" si="69">SUM(AZ15:BC15)</f>
        <v>2671.7117869001718</v>
      </c>
      <c r="BJ15" s="64">
        <f t="shared" si="44"/>
        <v>2655.7</v>
      </c>
      <c r="BK15" s="64">
        <f t="shared" ref="BK15:BK58" si="70">SUM(BD15:BE15)</f>
        <v>1253.9487147920045</v>
      </c>
      <c r="BL15" s="64">
        <f t="shared" si="45"/>
        <v>1267.9000000000001</v>
      </c>
    </row>
    <row r="16" spans="1:64" x14ac:dyDescent="0.25">
      <c r="A16" s="98" t="s">
        <v>7</v>
      </c>
      <c r="B16" s="220">
        <f>'Ingreso estructural no oil'!K15</f>
        <v>39114.041527352303</v>
      </c>
      <c r="C16" s="40">
        <f>'Ingreso estructural no oil'!L15</f>
        <v>39241.362999999998</v>
      </c>
      <c r="D16" s="12">
        <f t="shared" si="36"/>
        <v>0.99675542685284158</v>
      </c>
      <c r="E16" s="64">
        <f>'Ingreso estructural no oil'!N15</f>
        <v>24468.324000000001</v>
      </c>
      <c r="F16" s="12">
        <f t="shared" si="46"/>
        <v>4.9077644523452646E-2</v>
      </c>
      <c r="H16" s="98" t="s">
        <v>7</v>
      </c>
      <c r="I16" s="46">
        <f>SUM('Datos Gastos GC'!B16:B19)</f>
        <v>954.19999999999993</v>
      </c>
      <c r="J16" s="12">
        <f t="shared" si="47"/>
        <v>0.12113735166255446</v>
      </c>
      <c r="K16" s="64">
        <f t="shared" si="48"/>
        <v>2.4682796584637794</v>
      </c>
      <c r="L16" s="64">
        <f t="shared" si="49"/>
        <v>946.57646917449995</v>
      </c>
      <c r="M16" s="27">
        <v>919.35632002350997</v>
      </c>
      <c r="N16" s="98" t="s">
        <v>7</v>
      </c>
      <c r="O16" s="46">
        <f>SUM('Datos Gastos GC'!E16:E19)</f>
        <v>1088</v>
      </c>
      <c r="P16" s="64">
        <f t="shared" si="50"/>
        <v>8.7782443511297714E-2</v>
      </c>
      <c r="Q16" s="64">
        <f t="shared" si="51"/>
        <v>1.7886441854264068</v>
      </c>
      <c r="R16" s="64">
        <f t="shared" si="52"/>
        <v>1081.6939951915604</v>
      </c>
      <c r="T16" s="98" t="s">
        <v>7</v>
      </c>
      <c r="U16" s="46">
        <f>SUM('Datos Gastos GC'!H16:H19)</f>
        <v>121.7</v>
      </c>
      <c r="V16" s="64">
        <f t="shared" si="53"/>
        <v>-0.35437665782493366</v>
      </c>
      <c r="W16" s="64">
        <f t="shared" si="54"/>
        <v>-7.2207348430421989</v>
      </c>
      <c r="X16" s="64">
        <f t="shared" si="55"/>
        <v>124.58961946876789</v>
      </c>
      <c r="Z16" s="98" t="s">
        <v>7</v>
      </c>
      <c r="AA16" s="46">
        <f>SUM('Datos Gastos GC'!K16:K19)</f>
        <v>407.9</v>
      </c>
      <c r="AB16" s="64">
        <f t="shared" si="56"/>
        <v>-0.33771716187692824</v>
      </c>
      <c r="AC16" s="64">
        <f t="shared" si="57"/>
        <v>-6.8812830191054495</v>
      </c>
      <c r="AD16" s="64">
        <f t="shared" si="58"/>
        <v>417.12468064999575</v>
      </c>
      <c r="AF16" s="98" t="s">
        <v>7</v>
      </c>
      <c r="AG16" s="46">
        <f>SUM('Datos Gastos GC'!N16:N19)</f>
        <v>644.6</v>
      </c>
      <c r="AH16" s="64">
        <f t="shared" si="59"/>
        <v>0.12949009987734361</v>
      </c>
      <c r="AI16" s="64">
        <f t="shared" si="60"/>
        <v>2.6384742204867719</v>
      </c>
      <c r="AJ16" s="64">
        <f t="shared" si="61"/>
        <v>639.09641597617292</v>
      </c>
      <c r="AK16" s="27">
        <v>570.945693420407</v>
      </c>
      <c r="AL16" s="98" t="s">
        <v>7</v>
      </c>
      <c r="AM16" s="46">
        <f>SUM('Datos Gastos GC'!Q16:Q19)</f>
        <v>794.1</v>
      </c>
      <c r="AN16" s="64">
        <f t="shared" si="62"/>
        <v>0.13898450946643703</v>
      </c>
      <c r="AO16" s="64">
        <f t="shared" si="63"/>
        <v>2.8319311331256078</v>
      </c>
      <c r="AP16" s="64">
        <f t="shared" si="64"/>
        <v>786.82515056239106</v>
      </c>
      <c r="AQ16" s="27">
        <v>568.54994523253902</v>
      </c>
      <c r="AR16" s="98" t="s">
        <v>7</v>
      </c>
      <c r="AS16" s="46">
        <f>SUM('Datos Gastos GC'!T16:T19)</f>
        <v>4010.5</v>
      </c>
      <c r="AT16" s="64">
        <f t="shared" si="65"/>
        <v>2.2148027321847286E-2</v>
      </c>
      <c r="AU16" s="64">
        <f t="shared" si="66"/>
        <v>0.45128545872374637</v>
      </c>
      <c r="AV16" s="64">
        <f t="shared" si="67"/>
        <v>4004.6224747520037</v>
      </c>
      <c r="AW16" s="27">
        <v>3944.6902560277199</v>
      </c>
      <c r="AY16" s="255" t="s">
        <v>7</v>
      </c>
      <c r="AZ16" s="251">
        <f t="shared" si="37"/>
        <v>946.57646917449995</v>
      </c>
      <c r="BA16" s="251">
        <f t="shared" si="38"/>
        <v>1081.6939951915604</v>
      </c>
      <c r="BB16" s="251">
        <f t="shared" si="39"/>
        <v>124.58961946876789</v>
      </c>
      <c r="BC16" s="251">
        <f t="shared" si="40"/>
        <v>417.12468064999575</v>
      </c>
      <c r="BD16" s="251">
        <f t="shared" si="41"/>
        <v>639.09641597617292</v>
      </c>
      <c r="BE16" s="251">
        <f t="shared" si="42"/>
        <v>786.82515056239106</v>
      </c>
      <c r="BF16" s="251">
        <f t="shared" si="34"/>
        <v>3995.9063310233882</v>
      </c>
      <c r="BG16" s="64">
        <f t="shared" si="43"/>
        <v>4010.4999999999995</v>
      </c>
      <c r="BH16" s="64">
        <f t="shared" si="68"/>
        <v>3049.3298618488884</v>
      </c>
      <c r="BI16" s="64">
        <f t="shared" si="69"/>
        <v>2569.9847644848242</v>
      </c>
      <c r="BJ16" s="64">
        <f t="shared" si="44"/>
        <v>2571.7999999999997</v>
      </c>
      <c r="BK16" s="64">
        <f t="shared" si="70"/>
        <v>1425.9215665385641</v>
      </c>
      <c r="BL16" s="64">
        <f t="shared" si="45"/>
        <v>1438.7</v>
      </c>
    </row>
    <row r="17" spans="1:64" x14ac:dyDescent="0.25">
      <c r="A17" s="98" t="s">
        <v>8</v>
      </c>
      <c r="B17" s="220">
        <f>'Ingreso estructural no oil'!K16</f>
        <v>39455.299268774797</v>
      </c>
      <c r="C17" s="40">
        <f>'Ingreso estructural no oil'!L16</f>
        <v>39605.565999999999</v>
      </c>
      <c r="D17" s="12">
        <f t="shared" si="36"/>
        <v>0.99620591885430443</v>
      </c>
      <c r="E17" s="64">
        <f>'Ingreso estructural no oil'!N16</f>
        <v>25301.792999999998</v>
      </c>
      <c r="F17" s="12">
        <f t="shared" si="46"/>
        <v>3.4063183077026382E-2</v>
      </c>
      <c r="H17" s="98" t="s">
        <v>8</v>
      </c>
      <c r="I17" s="46">
        <f>SUM('Datos Gastos GC'!B17:B20)</f>
        <v>947.2</v>
      </c>
      <c r="J17" s="12">
        <f t="shared" si="47"/>
        <v>-7.3359882624186579E-3</v>
      </c>
      <c r="K17" s="64">
        <f t="shared" si="48"/>
        <v>-0.21536414391543907</v>
      </c>
      <c r="L17" s="64">
        <f t="shared" si="49"/>
        <v>947.97575514705909</v>
      </c>
      <c r="M17" s="27">
        <v>897.17930193019799</v>
      </c>
      <c r="N17" s="98" t="s">
        <v>8</v>
      </c>
      <c r="O17" s="46">
        <f>SUM('Datos Gastos GC'!E17:E20)</f>
        <v>1184</v>
      </c>
      <c r="P17" s="64">
        <f t="shared" si="50"/>
        <v>8.8235294117646967E-2</v>
      </c>
      <c r="Q17" s="64">
        <f t="shared" si="51"/>
        <v>2.5903420099678383</v>
      </c>
      <c r="R17" s="64">
        <f t="shared" si="52"/>
        <v>1172.3987660262342</v>
      </c>
      <c r="T17" s="98" t="s">
        <v>8</v>
      </c>
      <c r="U17" s="46">
        <f>SUM('Datos Gastos GC'!H17:H20)</f>
        <v>169.2</v>
      </c>
      <c r="V17" s="64">
        <f t="shared" si="53"/>
        <v>0.39030402629416594</v>
      </c>
      <c r="W17" s="64">
        <f t="shared" si="54"/>
        <v>11.458237047652869</v>
      </c>
      <c r="X17" s="64">
        <f t="shared" si="55"/>
        <v>161.98849041261676</v>
      </c>
      <c r="Z17" s="98" t="s">
        <v>8</v>
      </c>
      <c r="AA17" s="46">
        <f>SUM('Datos Gastos GC'!K17:K20)</f>
        <v>492.6</v>
      </c>
      <c r="AB17" s="64">
        <f t="shared" si="56"/>
        <v>0.20764893356214764</v>
      </c>
      <c r="AC17" s="64">
        <f t="shared" si="57"/>
        <v>6.0959932338852578</v>
      </c>
      <c r="AD17" s="64">
        <f t="shared" si="58"/>
        <v>481.31637844554285</v>
      </c>
      <c r="AF17" s="98" t="s">
        <v>8</v>
      </c>
      <c r="AG17" s="46">
        <f>SUM('Datos Gastos GC'!N17:N20)</f>
        <v>620.6</v>
      </c>
      <c r="AH17" s="64">
        <f t="shared" si="59"/>
        <v>-3.7232392181197671E-2</v>
      </c>
      <c r="AI17" s="64">
        <f t="shared" si="60"/>
        <v>-1.0930391354502842</v>
      </c>
      <c r="AJ17" s="64">
        <f t="shared" si="61"/>
        <v>623.18393645828223</v>
      </c>
      <c r="AK17" s="27">
        <v>587.11422694022201</v>
      </c>
      <c r="AL17" s="98" t="s">
        <v>8</v>
      </c>
      <c r="AM17" s="46">
        <f>SUM('Datos Gastos GC'!Q17:Q20)</f>
        <v>579.5</v>
      </c>
      <c r="AN17" s="64">
        <f t="shared" si="62"/>
        <v>-0.27024304243798014</v>
      </c>
      <c r="AO17" s="64">
        <f t="shared" si="63"/>
        <v>-7.9335815982577156</v>
      </c>
      <c r="AP17" s="64">
        <f t="shared" si="64"/>
        <v>597.24269922371172</v>
      </c>
      <c r="AQ17" s="27">
        <v>596.12257295729796</v>
      </c>
      <c r="AR17" s="98" t="s">
        <v>8</v>
      </c>
      <c r="AS17" s="46">
        <f>SUM('Datos Gastos GC'!T17:T20)</f>
        <v>3993.1000000000004</v>
      </c>
      <c r="AT17" s="64">
        <f t="shared" si="65"/>
        <v>-4.3386111457422993E-3</v>
      </c>
      <c r="AU17" s="64">
        <f t="shared" si="66"/>
        <v>-0.12736951611161781</v>
      </c>
      <c r="AV17" s="64">
        <f t="shared" si="67"/>
        <v>3995.0338047399</v>
      </c>
      <c r="AW17" s="27">
        <v>4091.5532538740599</v>
      </c>
      <c r="AY17" s="255" t="s">
        <v>8</v>
      </c>
      <c r="AZ17" s="251">
        <f t="shared" si="37"/>
        <v>947.97575514705909</v>
      </c>
      <c r="BA17" s="251">
        <f t="shared" si="38"/>
        <v>1172.3987660262342</v>
      </c>
      <c r="BB17" s="251">
        <f t="shared" si="39"/>
        <v>161.98849041261676</v>
      </c>
      <c r="BC17" s="251">
        <f t="shared" si="40"/>
        <v>481.31637844554285</v>
      </c>
      <c r="BD17" s="251">
        <f t="shared" si="41"/>
        <v>623.18393645828223</v>
      </c>
      <c r="BE17" s="251">
        <f t="shared" si="42"/>
        <v>597.24269922371172</v>
      </c>
      <c r="BF17" s="251">
        <f>SUM(AZ17:BE17)</f>
        <v>3984.1060257134459</v>
      </c>
      <c r="BG17" s="64">
        <f t="shared" si="43"/>
        <v>3993.0999999999995</v>
      </c>
      <c r="BH17" s="64">
        <f t="shared" si="68"/>
        <v>3036.1302705663866</v>
      </c>
      <c r="BI17" s="64">
        <f t="shared" si="69"/>
        <v>2763.6793900314524</v>
      </c>
      <c r="BJ17" s="64">
        <f t="shared" si="44"/>
        <v>2792.9999999999995</v>
      </c>
      <c r="BK17" s="64">
        <f t="shared" si="70"/>
        <v>1220.426635681994</v>
      </c>
      <c r="BL17" s="64">
        <f t="shared" si="45"/>
        <v>1200.0999999999999</v>
      </c>
    </row>
    <row r="18" spans="1:64" x14ac:dyDescent="0.25">
      <c r="A18" s="98" t="s">
        <v>9</v>
      </c>
      <c r="B18" s="220">
        <f>'Ingreso estructural no oil'!K17</f>
        <v>39820.2508474899</v>
      </c>
      <c r="C18" s="40">
        <f>'Ingreso estructural no oil'!L17</f>
        <v>40008.970999999998</v>
      </c>
      <c r="D18" s="12">
        <f t="shared" si="36"/>
        <v>0.99528305408029372</v>
      </c>
      <c r="E18" s="64">
        <f>'Ingreso estructural no oil'!N17</f>
        <v>26318.799999999999</v>
      </c>
      <c r="F18" s="12">
        <f t="shared" si="46"/>
        <v>4.0195056532159601E-2</v>
      </c>
      <c r="H18" s="98" t="s">
        <v>9</v>
      </c>
      <c r="I18" s="46">
        <f>SUM('Datos Gastos GC'!B18:B21)</f>
        <v>869.9</v>
      </c>
      <c r="J18" s="12">
        <f t="shared" si="47"/>
        <v>-8.1608952702702742E-2</v>
      </c>
      <c r="K18" s="64">
        <f t="shared" si="48"/>
        <v>-2.0303231228797589</v>
      </c>
      <c r="L18" s="64">
        <f t="shared" si="49"/>
        <v>878.29088694479231</v>
      </c>
      <c r="M18" s="27">
        <v>876.88148074648404</v>
      </c>
      <c r="N18" s="98" t="s">
        <v>9</v>
      </c>
      <c r="O18" s="46">
        <f>SUM('Datos Gastos GC'!E18:E21)</f>
        <v>1327.6</v>
      </c>
      <c r="P18" s="64">
        <f t="shared" si="50"/>
        <v>0.12128378378378368</v>
      </c>
      <c r="Q18" s="64">
        <f t="shared" si="51"/>
        <v>3.0173805996950378</v>
      </c>
      <c r="R18" s="64">
        <f t="shared" si="52"/>
        <v>1308.7942664643672</v>
      </c>
      <c r="T18" s="98" t="s">
        <v>9</v>
      </c>
      <c r="U18" s="46">
        <f>SUM('Datos Gastos GC'!H18:H21)</f>
        <v>207.7</v>
      </c>
      <c r="V18" s="64">
        <f t="shared" si="53"/>
        <v>0.22754137115839246</v>
      </c>
      <c r="W18" s="64">
        <f t="shared" si="54"/>
        <v>5.660929248260647</v>
      </c>
      <c r="X18" s="64">
        <f t="shared" si="55"/>
        <v>202.21454917516942</v>
      </c>
      <c r="Z18" s="98" t="s">
        <v>9</v>
      </c>
      <c r="AA18" s="46">
        <f>SUM('Datos Gastos GC'!K18:K21)</f>
        <v>556.6</v>
      </c>
      <c r="AB18" s="64">
        <f t="shared" si="56"/>
        <v>0.12992285830288264</v>
      </c>
      <c r="AC18" s="64">
        <f t="shared" si="57"/>
        <v>3.2323093811034416</v>
      </c>
      <c r="AD18" s="64">
        <f t="shared" si="58"/>
        <v>548.15831888898208</v>
      </c>
      <c r="AF18" s="98" t="s">
        <v>9</v>
      </c>
      <c r="AG18" s="46">
        <f>SUM('Datos Gastos GC'!N18:N21)</f>
        <v>661.1</v>
      </c>
      <c r="AH18" s="64">
        <f t="shared" si="59"/>
        <v>6.5259426361585549E-2</v>
      </c>
      <c r="AI18" s="64">
        <f t="shared" si="60"/>
        <v>1.623568468161557</v>
      </c>
      <c r="AJ18" s="64">
        <f t="shared" si="61"/>
        <v>656.04455826475021</v>
      </c>
      <c r="AK18" s="27">
        <v>600.43362742287195</v>
      </c>
      <c r="AL18" s="98" t="s">
        <v>9</v>
      </c>
      <c r="AM18" s="46">
        <f>SUM('Datos Gastos GC'!Q18:Q21)</f>
        <v>604.9</v>
      </c>
      <c r="AN18" s="64">
        <f t="shared" si="62"/>
        <v>4.383088869715257E-2</v>
      </c>
      <c r="AO18" s="64">
        <f t="shared" si="63"/>
        <v>1.0904547095756409</v>
      </c>
      <c r="AP18" s="64">
        <f t="shared" si="64"/>
        <v>601.7892914625096</v>
      </c>
      <c r="AQ18" s="27">
        <v>617.88578532574797</v>
      </c>
      <c r="AR18" s="98" t="s">
        <v>9</v>
      </c>
      <c r="AS18" s="46">
        <f>SUM('Datos Gastos GC'!T18:T21)</f>
        <v>4227.8</v>
      </c>
      <c r="AT18" s="64">
        <f t="shared" si="65"/>
        <v>5.8776389271493201E-2</v>
      </c>
      <c r="AU18" s="64">
        <f t="shared" si="66"/>
        <v>1.4622790547505982</v>
      </c>
      <c r="AV18" s="64">
        <f t="shared" si="67"/>
        <v>4198.670607219562</v>
      </c>
      <c r="AW18" s="27">
        <v>4241.1571283237599</v>
      </c>
      <c r="AY18" s="255" t="s">
        <v>9</v>
      </c>
      <c r="AZ18" s="251">
        <f t="shared" si="37"/>
        <v>878.29088694479231</v>
      </c>
      <c r="BA18" s="251">
        <f t="shared" si="38"/>
        <v>1308.7942664643672</v>
      </c>
      <c r="BB18" s="251">
        <f t="shared" si="39"/>
        <v>202.21454917516942</v>
      </c>
      <c r="BC18" s="251">
        <f t="shared" si="40"/>
        <v>548.15831888898208</v>
      </c>
      <c r="BD18" s="251">
        <f t="shared" si="41"/>
        <v>656.04455826475021</v>
      </c>
      <c r="BE18" s="251">
        <f t="shared" si="42"/>
        <v>601.7892914625096</v>
      </c>
      <c r="BF18" s="251">
        <f t="shared" si="34"/>
        <v>4195.2918712005712</v>
      </c>
      <c r="BG18" s="64">
        <f t="shared" si="43"/>
        <v>4227.7999999999993</v>
      </c>
      <c r="BH18" s="64">
        <f t="shared" si="68"/>
        <v>3317.0009842557788</v>
      </c>
      <c r="BI18" s="64">
        <f t="shared" si="69"/>
        <v>2937.458021473311</v>
      </c>
      <c r="BJ18" s="64">
        <f t="shared" si="44"/>
        <v>2961.7999999999997</v>
      </c>
      <c r="BK18" s="64">
        <f t="shared" si="70"/>
        <v>1257.8338497272598</v>
      </c>
      <c r="BL18" s="64">
        <f t="shared" si="45"/>
        <v>1266</v>
      </c>
    </row>
    <row r="19" spans="1:64" x14ac:dyDescent="0.25">
      <c r="A19" s="98" t="s">
        <v>10</v>
      </c>
      <c r="B19" s="220">
        <f>'Ingreso estructural no oil'!K18</f>
        <v>40207.630801524603</v>
      </c>
      <c r="C19" s="40">
        <f>'Ingreso estructural no oil'!L18</f>
        <v>40473.695999999996</v>
      </c>
      <c r="D19" s="12">
        <f t="shared" si="36"/>
        <v>0.99342621937775599</v>
      </c>
      <c r="E19" s="64">
        <f>'Ingreso estructural no oil'!N18</f>
        <v>27453.323</v>
      </c>
      <c r="F19" s="12">
        <f t="shared" si="46"/>
        <v>4.3106942565770412E-2</v>
      </c>
      <c r="H19" s="98" t="s">
        <v>10</v>
      </c>
      <c r="I19" s="46">
        <f>SUM('Datos Gastos GC'!B19:B22)</f>
        <v>834.59999999999991</v>
      </c>
      <c r="J19" s="12">
        <f t="shared" si="47"/>
        <v>-4.0579376939878231E-2</v>
      </c>
      <c r="K19" s="64">
        <f t="shared" si="48"/>
        <v>-0.94136523085496615</v>
      </c>
      <c r="L19" s="64">
        <f t="shared" si="49"/>
        <v>839.79794951431768</v>
      </c>
      <c r="M19" s="27">
        <v>859.24773795037402</v>
      </c>
      <c r="N19" s="98" t="s">
        <v>10</v>
      </c>
      <c r="O19" s="46">
        <f>SUM('Datos Gastos GC'!E19:E22)</f>
        <v>1522.3</v>
      </c>
      <c r="P19" s="64">
        <f t="shared" si="50"/>
        <v>0.14665561916239844</v>
      </c>
      <c r="Q19" s="64">
        <f t="shared" si="51"/>
        <v>3.4021345619360188</v>
      </c>
      <c r="R19" s="64">
        <f t="shared" si="52"/>
        <v>1488.5219208007622</v>
      </c>
      <c r="T19" s="98" t="s">
        <v>10</v>
      </c>
      <c r="U19" s="46">
        <f>SUM('Datos Gastos GC'!H19:H22)</f>
        <v>270.2</v>
      </c>
      <c r="V19" s="64">
        <f t="shared" si="53"/>
        <v>0.30091478093403956</v>
      </c>
      <c r="W19" s="64">
        <f t="shared" si="54"/>
        <v>6.9806570130766961</v>
      </c>
      <c r="X19" s="64">
        <f t="shared" si="55"/>
        <v>258.04180851378976</v>
      </c>
      <c r="Z19" s="98" t="s">
        <v>10</v>
      </c>
      <c r="AA19" s="46">
        <f>SUM('Datos Gastos GC'!K19:K22)</f>
        <v>636.90000000000009</v>
      </c>
      <c r="AB19" s="64">
        <f t="shared" si="56"/>
        <v>0.14426877470355737</v>
      </c>
      <c r="AC19" s="64">
        <f t="shared" si="57"/>
        <v>3.3467642592243534</v>
      </c>
      <c r="AD19" s="64">
        <f t="shared" si="58"/>
        <v>622.99539700595938</v>
      </c>
      <c r="AF19" s="98" t="s">
        <v>10</v>
      </c>
      <c r="AG19" s="46">
        <f>SUM('Datos Gastos GC'!N19:N22)</f>
        <v>648.5</v>
      </c>
      <c r="AH19" s="64">
        <f t="shared" si="59"/>
        <v>-1.9059143851157145E-2</v>
      </c>
      <c r="AI19" s="64">
        <f t="shared" si="60"/>
        <v>-0.44213629445135572</v>
      </c>
      <c r="AJ19" s="64">
        <f t="shared" si="61"/>
        <v>650.3938524305745</v>
      </c>
      <c r="AK19" s="27">
        <v>610.55553487658096</v>
      </c>
      <c r="AL19" s="98" t="s">
        <v>10</v>
      </c>
      <c r="AM19" s="46">
        <f>SUM('Datos Gastos GC'!Q19:Q22)</f>
        <v>613</v>
      </c>
      <c r="AN19" s="64">
        <f t="shared" si="62"/>
        <v>1.3390643081501175E-2</v>
      </c>
      <c r="AO19" s="64">
        <f t="shared" si="63"/>
        <v>0.31063773685805718</v>
      </c>
      <c r="AP19" s="64">
        <f t="shared" si="64"/>
        <v>611.74536764796642</v>
      </c>
      <c r="AQ19" s="27">
        <v>634.62570213853201</v>
      </c>
      <c r="AR19" s="98" t="s">
        <v>10</v>
      </c>
      <c r="AS19" s="46">
        <f>SUM('Datos Gastos GC'!T19:T22)</f>
        <v>4525.5</v>
      </c>
      <c r="AT19" s="64">
        <f t="shared" si="65"/>
        <v>7.0414872983584731E-2</v>
      </c>
      <c r="AU19" s="64">
        <f t="shared" si="66"/>
        <v>1.6334926300131178</v>
      </c>
      <c r="AV19" s="64">
        <f t="shared" si="67"/>
        <v>4477.0054441279908</v>
      </c>
      <c r="AW19" s="27">
        <v>4389.3272981622504</v>
      </c>
      <c r="AY19" s="255" t="s">
        <v>10</v>
      </c>
      <c r="AZ19" s="251">
        <f t="shared" si="37"/>
        <v>839.79794951431768</v>
      </c>
      <c r="BA19" s="251">
        <f t="shared" si="38"/>
        <v>1488.5219208007622</v>
      </c>
      <c r="BB19" s="251">
        <f t="shared" si="39"/>
        <v>258.04180851378976</v>
      </c>
      <c r="BC19" s="251">
        <f t="shared" si="40"/>
        <v>622.99539700595938</v>
      </c>
      <c r="BD19" s="251">
        <f t="shared" si="41"/>
        <v>650.3938524305745</v>
      </c>
      <c r="BE19" s="251">
        <f t="shared" si="42"/>
        <v>611.74536764796642</v>
      </c>
      <c r="BF19" s="251">
        <f t="shared" si="34"/>
        <v>4471.4962959133709</v>
      </c>
      <c r="BG19" s="64">
        <f t="shared" si="43"/>
        <v>4525.5</v>
      </c>
      <c r="BH19" s="64">
        <f t="shared" si="68"/>
        <v>3631.6983463990532</v>
      </c>
      <c r="BI19" s="64">
        <f t="shared" si="69"/>
        <v>3209.3570758348296</v>
      </c>
      <c r="BJ19" s="64">
        <f t="shared" si="44"/>
        <v>3263.9999999999995</v>
      </c>
      <c r="BK19" s="64">
        <f t="shared" si="70"/>
        <v>1262.1392200785408</v>
      </c>
      <c r="BL19" s="64">
        <f t="shared" si="45"/>
        <v>1261.5</v>
      </c>
    </row>
    <row r="20" spans="1:64" x14ac:dyDescent="0.25">
      <c r="A20" s="98" t="s">
        <v>11</v>
      </c>
      <c r="B20" s="220">
        <f>'Ingreso estructural no oil'!K19</f>
        <v>40618.061160430698</v>
      </c>
      <c r="C20" s="40">
        <f>'Ingreso estructural no oil'!L19</f>
        <v>40848.993999999999</v>
      </c>
      <c r="D20" s="12">
        <f t="shared" si="36"/>
        <v>0.99434667009010547</v>
      </c>
      <c r="E20" s="64">
        <f>'Ingreso estructural no oil'!N19</f>
        <v>28548.945</v>
      </c>
      <c r="F20" s="12">
        <f t="shared" si="46"/>
        <v>3.9908538576550523E-2</v>
      </c>
      <c r="H20" s="98" t="s">
        <v>11</v>
      </c>
      <c r="I20" s="46">
        <f>SUM('Datos Gastos GC'!B20:B23)</f>
        <v>822.5</v>
      </c>
      <c r="J20" s="12">
        <f t="shared" si="47"/>
        <v>-1.4497963096093858E-2</v>
      </c>
      <c r="K20" s="64">
        <f t="shared" si="48"/>
        <v>-0.36327972943144998</v>
      </c>
      <c r="L20" s="64">
        <f t="shared" si="49"/>
        <v>824.1957398058255</v>
      </c>
      <c r="M20" s="27">
        <v>844.82414021240902</v>
      </c>
      <c r="N20" s="98" t="s">
        <v>11</v>
      </c>
      <c r="O20" s="46">
        <f>SUM('Datos Gastos GC'!E20:E23)</f>
        <v>1672.1999999999998</v>
      </c>
      <c r="P20" s="64">
        <f t="shared" si="50"/>
        <v>9.8469421270446E-2</v>
      </c>
      <c r="Q20" s="64">
        <f t="shared" si="51"/>
        <v>2.4673772777113094</v>
      </c>
      <c r="R20" s="64">
        <f t="shared" si="52"/>
        <v>1648.9713163841739</v>
      </c>
      <c r="T20" s="98" t="s">
        <v>11</v>
      </c>
      <c r="U20" s="46">
        <f>SUM('Datos Gastos GC'!H20:H23)</f>
        <v>318</v>
      </c>
      <c r="V20" s="64">
        <f t="shared" si="53"/>
        <v>0.17690599555884545</v>
      </c>
      <c r="W20" s="64">
        <f t="shared" si="54"/>
        <v>4.4327856110168851</v>
      </c>
      <c r="X20" s="64">
        <f t="shared" si="55"/>
        <v>310.10789303288232</v>
      </c>
      <c r="Z20" s="98" t="s">
        <v>11</v>
      </c>
      <c r="AA20" s="46">
        <f>SUM('Datos Gastos GC'!K20:K23)</f>
        <v>717.8</v>
      </c>
      <c r="AB20" s="64">
        <f t="shared" si="56"/>
        <v>0.12702151044119936</v>
      </c>
      <c r="AC20" s="64">
        <f t="shared" si="57"/>
        <v>3.1828153816645823</v>
      </c>
      <c r="AD20" s="64">
        <f t="shared" si="58"/>
        <v>704.96377548363955</v>
      </c>
      <c r="AF20" s="98" t="s">
        <v>11</v>
      </c>
      <c r="AG20" s="46">
        <f>SUM('Datos Gastos GC'!N20:N23)</f>
        <v>610.59999999999991</v>
      </c>
      <c r="AH20" s="64">
        <f t="shared" si="59"/>
        <v>-5.8442559753276946E-2</v>
      </c>
      <c r="AI20" s="64">
        <f t="shared" si="60"/>
        <v>-1.4644124249545096</v>
      </c>
      <c r="AJ20" s="64">
        <f t="shared" si="61"/>
        <v>615.6904843877544</v>
      </c>
      <c r="AK20" s="27">
        <v>617.73725303534297</v>
      </c>
      <c r="AL20" s="98" t="s">
        <v>11</v>
      </c>
      <c r="AM20" s="46">
        <f>SUM('Datos Gastos GC'!Q20:Q23)</f>
        <v>616</v>
      </c>
      <c r="AN20" s="64">
        <f t="shared" si="62"/>
        <v>4.8939641109297938E-3</v>
      </c>
      <c r="AO20" s="64">
        <f t="shared" si="63"/>
        <v>0.122629499487746</v>
      </c>
      <c r="AP20" s="64">
        <f t="shared" si="64"/>
        <v>615.57188588620181</v>
      </c>
      <c r="AQ20" s="27">
        <v>646.99958534303596</v>
      </c>
      <c r="AR20" s="98" t="s">
        <v>11</v>
      </c>
      <c r="AS20" s="46">
        <f>SUM('Datos Gastos GC'!T20:T23)</f>
        <v>4757.1000000000004</v>
      </c>
      <c r="AT20" s="64">
        <f t="shared" si="65"/>
        <v>5.1176665561816437E-2</v>
      </c>
      <c r="AU20" s="64">
        <f t="shared" si="66"/>
        <v>1.2823487751537674</v>
      </c>
      <c r="AV20" s="64">
        <f t="shared" si="67"/>
        <v>4722.6407714114248</v>
      </c>
      <c r="AW20" s="27">
        <v>4531.58761089171</v>
      </c>
      <c r="AY20" s="255" t="s">
        <v>11</v>
      </c>
      <c r="AZ20" s="251">
        <f t="shared" si="37"/>
        <v>824.1957398058255</v>
      </c>
      <c r="BA20" s="251">
        <f t="shared" si="38"/>
        <v>1648.9713163841739</v>
      </c>
      <c r="BB20" s="251">
        <f t="shared" si="39"/>
        <v>310.10789303288232</v>
      </c>
      <c r="BC20" s="251">
        <f t="shared" si="40"/>
        <v>704.96377548363955</v>
      </c>
      <c r="BD20" s="251">
        <f t="shared" si="41"/>
        <v>615.6904843877544</v>
      </c>
      <c r="BE20" s="251">
        <f t="shared" si="42"/>
        <v>615.57188588620181</v>
      </c>
      <c r="BF20" s="251">
        <f t="shared" si="34"/>
        <v>4719.5010949804773</v>
      </c>
      <c r="BG20" s="64">
        <f t="shared" si="43"/>
        <v>4757.1000000000004</v>
      </c>
      <c r="BH20" s="64">
        <f t="shared" si="68"/>
        <v>3895.3053551746516</v>
      </c>
      <c r="BI20" s="64">
        <f t="shared" si="69"/>
        <v>3488.2387247065208</v>
      </c>
      <c r="BJ20" s="64">
        <f t="shared" si="44"/>
        <v>3530.5</v>
      </c>
      <c r="BK20" s="64">
        <f t="shared" si="70"/>
        <v>1231.2623702739561</v>
      </c>
      <c r="BL20" s="64">
        <f t="shared" si="45"/>
        <v>1226.5999999999999</v>
      </c>
    </row>
    <row r="21" spans="1:64" x14ac:dyDescent="0.25">
      <c r="A21" s="98" t="s">
        <v>12</v>
      </c>
      <c r="B21" s="220">
        <f>'Ingreso estructural no oil'!K20</f>
        <v>41054.824645744899</v>
      </c>
      <c r="C21" s="40">
        <f>'Ingreso estructural no oil'!L20</f>
        <v>41225.516000000003</v>
      </c>
      <c r="D21" s="12">
        <f t="shared" si="36"/>
        <v>0.9958595702172629</v>
      </c>
      <c r="E21" s="64">
        <f>'Ingreso estructural no oil'!N20</f>
        <v>29822.823</v>
      </c>
      <c r="F21" s="12">
        <f t="shared" si="46"/>
        <v>4.4620843257080045E-2</v>
      </c>
      <c r="H21" s="98" t="s">
        <v>12</v>
      </c>
      <c r="I21" s="46">
        <f>SUM('Datos Gastos GC'!B21:B24)</f>
        <v>797.90000000000009</v>
      </c>
      <c r="J21" s="12">
        <f t="shared" si="47"/>
        <v>-2.9908814589665544E-2</v>
      </c>
      <c r="K21" s="64">
        <f t="shared" si="48"/>
        <v>-0.67028797320901989</v>
      </c>
      <c r="L21" s="64">
        <f t="shared" si="49"/>
        <v>800.12208152887479</v>
      </c>
      <c r="M21" s="27">
        <v>833.91427682362701</v>
      </c>
      <c r="N21" s="98" t="s">
        <v>12</v>
      </c>
      <c r="O21" s="46">
        <f>SUM('Datos Gastos GC'!E21:E24)</f>
        <v>1776.3999999999999</v>
      </c>
      <c r="P21" s="64">
        <f t="shared" si="50"/>
        <v>6.2313120440138814E-2</v>
      </c>
      <c r="Q21" s="64">
        <f t="shared" si="51"/>
        <v>1.3965025286753521</v>
      </c>
      <c r="R21" s="64">
        <f t="shared" si="52"/>
        <v>1766.1370790895412</v>
      </c>
      <c r="T21" s="98" t="s">
        <v>12</v>
      </c>
      <c r="U21" s="46">
        <f>SUM('Datos Gastos GC'!H21:H24)</f>
        <v>292.5</v>
      </c>
      <c r="V21" s="64">
        <f t="shared" si="53"/>
        <v>-8.0188679245283057E-2</v>
      </c>
      <c r="W21" s="64">
        <f t="shared" si="54"/>
        <v>-1.7971125911556909</v>
      </c>
      <c r="X21" s="64">
        <f t="shared" si="55"/>
        <v>294.68910872848073</v>
      </c>
      <c r="Z21" s="98" t="s">
        <v>12</v>
      </c>
      <c r="AA21" s="46">
        <f>SUM('Datos Gastos GC'!K21:K24)</f>
        <v>676.19999999999993</v>
      </c>
      <c r="AB21" s="64">
        <f t="shared" si="56"/>
        <v>-5.7954862078573477E-2</v>
      </c>
      <c r="AC21" s="64">
        <f t="shared" si="57"/>
        <v>-1.2988293776670772</v>
      </c>
      <c r="AD21" s="64">
        <f t="shared" si="58"/>
        <v>679.8537938151178</v>
      </c>
      <c r="AF21" s="98" t="s">
        <v>12</v>
      </c>
      <c r="AG21" s="46">
        <f>SUM('Datos Gastos GC'!N21:N24)</f>
        <v>624.09999999999991</v>
      </c>
      <c r="AH21" s="64">
        <f t="shared" si="59"/>
        <v>2.2109400589584105E-2</v>
      </c>
      <c r="AI21" s="64">
        <f t="shared" si="60"/>
        <v>0.49549490721639328</v>
      </c>
      <c r="AJ21" s="64">
        <f t="shared" si="61"/>
        <v>622.81828018021156</v>
      </c>
      <c r="AK21" s="27">
        <v>622.62053028438595</v>
      </c>
      <c r="AL21" s="98" t="s">
        <v>12</v>
      </c>
      <c r="AM21" s="46">
        <f>SUM('Datos Gastos GC'!Q21:Q24)</f>
        <v>727.40000000000009</v>
      </c>
      <c r="AN21" s="64">
        <f t="shared" si="62"/>
        <v>0.18084415584415603</v>
      </c>
      <c r="AO21" s="64">
        <f t="shared" si="63"/>
        <v>4.0529076244084932</v>
      </c>
      <c r="AP21" s="64">
        <f t="shared" si="64"/>
        <v>715.27058889474108</v>
      </c>
      <c r="AQ21" s="27">
        <v>655.448439865262</v>
      </c>
      <c r="AR21" s="98" t="s">
        <v>12</v>
      </c>
      <c r="AS21" s="46">
        <f>SUM('Datos Gastos GC'!T21:T24)</f>
        <v>4894.5</v>
      </c>
      <c r="AT21" s="64">
        <f t="shared" si="65"/>
        <v>2.8883143091379182E-2</v>
      </c>
      <c r="AU21" s="64">
        <f t="shared" si="66"/>
        <v>0.64730159681140176</v>
      </c>
      <c r="AV21" s="64">
        <f t="shared" si="67"/>
        <v>4881.3726211942185</v>
      </c>
      <c r="AW21" s="27">
        <v>4664.82864103272</v>
      </c>
      <c r="AY21" s="255" t="s">
        <v>12</v>
      </c>
      <c r="AZ21" s="251">
        <f t="shared" si="37"/>
        <v>800.12208152887479</v>
      </c>
      <c r="BA21" s="251">
        <f t="shared" si="38"/>
        <v>1766.1370790895412</v>
      </c>
      <c r="BB21" s="251">
        <f t="shared" si="39"/>
        <v>294.68910872848073</v>
      </c>
      <c r="BC21" s="251">
        <f t="shared" si="40"/>
        <v>679.8537938151178</v>
      </c>
      <c r="BD21" s="251">
        <f t="shared" si="41"/>
        <v>622.81828018021156</v>
      </c>
      <c r="BE21" s="251">
        <f t="shared" si="42"/>
        <v>715.27058889474108</v>
      </c>
      <c r="BF21" s="251">
        <f t="shared" si="34"/>
        <v>4878.8909322369673</v>
      </c>
      <c r="BG21" s="64">
        <f t="shared" si="43"/>
        <v>4894.5</v>
      </c>
      <c r="BH21" s="64">
        <f t="shared" si="68"/>
        <v>4078.7688507080925</v>
      </c>
      <c r="BI21" s="64">
        <f t="shared" si="69"/>
        <v>3540.8020631620147</v>
      </c>
      <c r="BJ21" s="64">
        <f t="shared" si="44"/>
        <v>3543</v>
      </c>
      <c r="BK21" s="64">
        <f t="shared" si="70"/>
        <v>1338.0888690749525</v>
      </c>
      <c r="BL21" s="64">
        <f t="shared" si="45"/>
        <v>1351.5</v>
      </c>
    </row>
    <row r="22" spans="1:64" x14ac:dyDescent="0.25">
      <c r="A22" s="98" t="s">
        <v>13</v>
      </c>
      <c r="B22" s="220">
        <f>'Ingreso estructural no oil'!K21</f>
        <v>41523.513367399602</v>
      </c>
      <c r="C22" s="40">
        <f>'Ingreso estructural no oil'!L21</f>
        <v>41260.489000000001</v>
      </c>
      <c r="D22" s="12">
        <f t="shared" si="36"/>
        <v>1.0063747273426547</v>
      </c>
      <c r="E22" s="64">
        <f>'Ingreso estructural no oil'!N21</f>
        <v>30701.273999999998</v>
      </c>
      <c r="F22" s="12">
        <f t="shared" si="46"/>
        <v>2.9455662195359444E-2</v>
      </c>
      <c r="H22" s="98" t="s">
        <v>13</v>
      </c>
      <c r="I22" s="46">
        <f>SUM('Datos Gastos GC'!B22:B25)</f>
        <v>809.2</v>
      </c>
      <c r="J22" s="12">
        <f t="shared" si="47"/>
        <v>1.4162175711242009E-2</v>
      </c>
      <c r="K22" s="64">
        <f t="shared" si="48"/>
        <v>0.48079637854731955</v>
      </c>
      <c r="L22" s="64">
        <f t="shared" si="49"/>
        <v>811.67606297049838</v>
      </c>
      <c r="M22" s="27">
        <v>826.60349567294099</v>
      </c>
      <c r="N22" s="98" t="s">
        <v>13</v>
      </c>
      <c r="O22" s="46">
        <f>SUM('Datos Gastos GC'!E22:E25)</f>
        <v>1780.6</v>
      </c>
      <c r="P22" s="64">
        <f t="shared" si="50"/>
        <v>2.3643323575770481E-3</v>
      </c>
      <c r="Q22" s="64">
        <f t="shared" si="51"/>
        <v>8.0267499738964757E-2</v>
      </c>
      <c r="R22" s="64">
        <f t="shared" si="52"/>
        <v>1781.508443432097</v>
      </c>
      <c r="T22" s="98" t="s">
        <v>13</v>
      </c>
      <c r="U22" s="46">
        <f>SUM('Datos Gastos GC'!H22:H25)</f>
        <v>296.7</v>
      </c>
      <c r="V22" s="64">
        <f t="shared" si="53"/>
        <v>1.4358974358974264E-2</v>
      </c>
      <c r="W22" s="64">
        <f t="shared" si="54"/>
        <v>0.48747756080786497</v>
      </c>
      <c r="X22" s="64">
        <f t="shared" si="55"/>
        <v>297.62050472680488</v>
      </c>
      <c r="Z22" s="98" t="s">
        <v>13</v>
      </c>
      <c r="AA22" s="46">
        <f>SUM('Datos Gastos GC'!K22:K25)</f>
        <v>700.6</v>
      </c>
      <c r="AB22" s="64">
        <f t="shared" si="56"/>
        <v>3.608399881691815E-2</v>
      </c>
      <c r="AC22" s="64">
        <f t="shared" si="57"/>
        <v>1.2250275881627595</v>
      </c>
      <c r="AD22" s="64">
        <f t="shared" si="58"/>
        <v>706.0750550340814</v>
      </c>
      <c r="AF22" s="98" t="s">
        <v>13</v>
      </c>
      <c r="AG22" s="46">
        <f>SUM('Datos Gastos GC'!N22:N25)</f>
        <v>578.5</v>
      </c>
      <c r="AH22" s="64">
        <f t="shared" si="59"/>
        <v>-7.3065213908027449E-2</v>
      </c>
      <c r="AI22" s="64">
        <f t="shared" si="60"/>
        <v>-2.4805150678139709</v>
      </c>
      <c r="AJ22" s="64">
        <f t="shared" si="61"/>
        <v>569.45292928243066</v>
      </c>
      <c r="AK22" s="27">
        <v>625.77974247858401</v>
      </c>
      <c r="AL22" s="98" t="s">
        <v>13</v>
      </c>
      <c r="AM22" s="46">
        <f>SUM('Datos Gastos GC'!Q22:Q25)</f>
        <v>692.40000000000009</v>
      </c>
      <c r="AN22" s="64">
        <f t="shared" si="62"/>
        <v>-4.8116579598570297E-2</v>
      </c>
      <c r="AO22" s="64">
        <f t="shared" si="63"/>
        <v>-1.6335256454071763</v>
      </c>
      <c r="AP22" s="64">
        <f t="shared" si="64"/>
        <v>685.24990272901243</v>
      </c>
      <c r="AQ22" s="27">
        <v>660.10327477777798</v>
      </c>
      <c r="AR22" s="98" t="s">
        <v>13</v>
      </c>
      <c r="AS22" s="46">
        <f>SUM('Datos Gastos GC'!T22:T25)</f>
        <v>4858</v>
      </c>
      <c r="AT22" s="64">
        <f t="shared" si="65"/>
        <v>-7.4573500868321263E-3</v>
      </c>
      <c r="AU22" s="64">
        <f t="shared" si="66"/>
        <v>-0.25317203997562771</v>
      </c>
      <c r="AV22" s="64">
        <f t="shared" si="67"/>
        <v>4850.1908281797032</v>
      </c>
      <c r="AW22" s="27">
        <v>4788.1950869969196</v>
      </c>
      <c r="AY22" s="255" t="s">
        <v>13</v>
      </c>
      <c r="AZ22" s="251">
        <f t="shared" si="37"/>
        <v>811.67606297049838</v>
      </c>
      <c r="BA22" s="251">
        <f t="shared" si="38"/>
        <v>1781.508443432097</v>
      </c>
      <c r="BB22" s="251">
        <f t="shared" si="39"/>
        <v>297.62050472680488</v>
      </c>
      <c r="BC22" s="251">
        <f t="shared" si="40"/>
        <v>706.0750550340814</v>
      </c>
      <c r="BD22" s="251">
        <f t="shared" si="41"/>
        <v>569.45292928243066</v>
      </c>
      <c r="BE22" s="251">
        <f t="shared" si="42"/>
        <v>685.24990272901243</v>
      </c>
      <c r="BF22" s="251">
        <f>SUM(AZ22:BE22)</f>
        <v>4851.5828981749246</v>
      </c>
      <c r="BG22" s="64">
        <f t="shared" si="43"/>
        <v>4858</v>
      </c>
      <c r="BH22" s="64">
        <f t="shared" si="68"/>
        <v>4039.906835204426</v>
      </c>
      <c r="BI22" s="64">
        <f t="shared" si="69"/>
        <v>3596.8800661634818</v>
      </c>
      <c r="BJ22" s="64">
        <f t="shared" si="44"/>
        <v>3587.1</v>
      </c>
      <c r="BK22" s="64">
        <f t="shared" si="70"/>
        <v>1254.7028320114432</v>
      </c>
      <c r="BL22" s="64">
        <f t="shared" si="45"/>
        <v>1270.9000000000001</v>
      </c>
    </row>
    <row r="23" spans="1:64" x14ac:dyDescent="0.25">
      <c r="A23" s="98" t="s">
        <v>14</v>
      </c>
      <c r="B23" s="220">
        <f>'Ingreso estructural no oil'!K22</f>
        <v>42031.4261888697</v>
      </c>
      <c r="C23" s="40">
        <f>'Ingreso estructural no oil'!L22</f>
        <v>41450.661999999997</v>
      </c>
      <c r="D23" s="12">
        <f t="shared" si="36"/>
        <v>1.0140109749964838</v>
      </c>
      <c r="E23" s="64">
        <f>'Ingreso estructural no oil'!N22</f>
        <v>31527.607</v>
      </c>
      <c r="F23" s="12">
        <f t="shared" si="46"/>
        <v>2.6915267425058786E-2</v>
      </c>
      <c r="H23" s="98" t="s">
        <v>14</v>
      </c>
      <c r="I23" s="46">
        <f>SUM('Datos Gastos GC'!B23:B26)</f>
        <v>805.1</v>
      </c>
      <c r="J23" s="12">
        <f t="shared" si="47"/>
        <v>-5.0667325753831483E-3</v>
      </c>
      <c r="K23" s="64">
        <f t="shared" si="48"/>
        <v>-0.18824752863744143</v>
      </c>
      <c r="L23" s="64">
        <f t="shared" si="49"/>
        <v>802.99402115741213</v>
      </c>
      <c r="M23" s="27">
        <v>822.61800188102598</v>
      </c>
      <c r="N23" s="98" t="s">
        <v>14</v>
      </c>
      <c r="O23" s="46">
        <f>SUM('Datos Gastos GC'!E23:E26)</f>
        <v>1818.6</v>
      </c>
      <c r="P23" s="64">
        <f t="shared" si="50"/>
        <v>2.1341120970459482E-2</v>
      </c>
      <c r="Q23" s="64">
        <f t="shared" si="51"/>
        <v>0.79290020171192377</v>
      </c>
      <c r="R23" s="64">
        <f t="shared" si="52"/>
        <v>1838.7742340986397</v>
      </c>
      <c r="T23" s="98" t="s">
        <v>14</v>
      </c>
      <c r="U23" s="46">
        <f>SUM('Datos Gastos GC'!H23:H26)</f>
        <v>308.39999999999998</v>
      </c>
      <c r="V23" s="64">
        <f t="shared" si="53"/>
        <v>3.9433771486349745E-2</v>
      </c>
      <c r="W23" s="64">
        <f t="shared" si="54"/>
        <v>1.465107920482184</v>
      </c>
      <c r="X23" s="64">
        <f t="shared" si="55"/>
        <v>314.75128503506033</v>
      </c>
      <c r="Z23" s="98" t="s">
        <v>14</v>
      </c>
      <c r="AA23" s="46">
        <f>SUM('Datos Gastos GC'!K23:K26)</f>
        <v>704</v>
      </c>
      <c r="AB23" s="64">
        <f t="shared" si="56"/>
        <v>4.8529831572936555E-3</v>
      </c>
      <c r="AC23" s="64">
        <f t="shared" si="57"/>
        <v>0.18030596094971016</v>
      </c>
      <c r="AD23" s="64">
        <f t="shared" si="58"/>
        <v>705.76836189622179</v>
      </c>
      <c r="AF23" s="98" t="s">
        <v>14</v>
      </c>
      <c r="AG23" s="46">
        <f>SUM('Datos Gastos GC'!N23:N26)</f>
        <v>654.46199999999999</v>
      </c>
      <c r="AH23" s="64">
        <f t="shared" si="59"/>
        <v>0.13130855661192742</v>
      </c>
      <c r="AI23" s="64">
        <f t="shared" si="60"/>
        <v>4.8785900781976208</v>
      </c>
      <c r="AJ23" s="64">
        <f t="shared" si="61"/>
        <v>700.42892841897651</v>
      </c>
      <c r="AK23" s="27">
        <v>627.80306016996803</v>
      </c>
      <c r="AL23" s="98" t="s">
        <v>14</v>
      </c>
      <c r="AM23" s="46">
        <f>SUM('Datos Gastos GC'!Q23:Q26)</f>
        <v>679.2</v>
      </c>
      <c r="AN23" s="64">
        <f t="shared" si="62"/>
        <v>-1.906412478336228E-2</v>
      </c>
      <c r="AO23" s="64">
        <f t="shared" si="63"/>
        <v>-0.7083015183275907</v>
      </c>
      <c r="AP23" s="64">
        <f t="shared" si="64"/>
        <v>672.53928082540813</v>
      </c>
      <c r="AQ23" s="27">
        <v>661.81061475450304</v>
      </c>
      <c r="AR23" s="98" t="s">
        <v>14</v>
      </c>
      <c r="AS23" s="46">
        <f>SUM('Datos Gastos GC'!T23:T26)</f>
        <v>4969.7620000000006</v>
      </c>
      <c r="AT23" s="64">
        <f t="shared" si="65"/>
        <v>2.3005763688760839E-2</v>
      </c>
      <c r="AU23" s="64">
        <f t="shared" si="66"/>
        <v>0.85474772832247237</v>
      </c>
      <c r="AV23" s="64">
        <f t="shared" si="67"/>
        <v>5029.2188786258293</v>
      </c>
      <c r="AW23" s="27">
        <v>4903.1333607856204</v>
      </c>
      <c r="AY23" s="255" t="s">
        <v>14</v>
      </c>
      <c r="AZ23" s="251">
        <f t="shared" si="37"/>
        <v>802.99402115741213</v>
      </c>
      <c r="BA23" s="251">
        <f t="shared" si="38"/>
        <v>1838.7742340986397</v>
      </c>
      <c r="BB23" s="251">
        <f t="shared" si="39"/>
        <v>314.75128503506033</v>
      </c>
      <c r="BC23" s="251">
        <f t="shared" si="40"/>
        <v>705.76836189622179</v>
      </c>
      <c r="BD23" s="251">
        <f t="shared" si="41"/>
        <v>700.42892841897651</v>
      </c>
      <c r="BE23" s="251">
        <f t="shared" si="42"/>
        <v>672.53928082540813</v>
      </c>
      <c r="BF23" s="251">
        <f t="shared" si="34"/>
        <v>5035.2561114317186</v>
      </c>
      <c r="BG23" s="64">
        <f t="shared" si="43"/>
        <v>4969.7619999999997</v>
      </c>
      <c r="BH23" s="64">
        <f t="shared" si="68"/>
        <v>4232.2620902743065</v>
      </c>
      <c r="BI23" s="64">
        <f t="shared" si="69"/>
        <v>3662.2879021873341</v>
      </c>
      <c r="BJ23" s="64">
        <f t="shared" si="44"/>
        <v>3636.1</v>
      </c>
      <c r="BK23" s="64">
        <f t="shared" si="70"/>
        <v>1372.9682092443845</v>
      </c>
      <c r="BL23" s="64">
        <f t="shared" si="45"/>
        <v>1333.662</v>
      </c>
    </row>
    <row r="24" spans="1:64" x14ac:dyDescent="0.25">
      <c r="A24" s="98" t="s">
        <v>15</v>
      </c>
      <c r="B24" s="220">
        <f>'Ingreso estructural no oil'!K23</f>
        <v>42583.231839956097</v>
      </c>
      <c r="C24" s="40">
        <f>'Ingreso estructural no oil'!L23</f>
        <v>41961.262000000002</v>
      </c>
      <c r="D24" s="12">
        <f t="shared" si="36"/>
        <v>1.0148224769778396</v>
      </c>
      <c r="E24" s="64">
        <f>'Ingreso estructural no oil'!N23</f>
        <v>32432.858999999997</v>
      </c>
      <c r="F24" s="12">
        <f t="shared" si="46"/>
        <v>2.8712994297346972E-2</v>
      </c>
      <c r="H24" s="98" t="s">
        <v>15</v>
      </c>
      <c r="I24" s="46">
        <f>SUM('Datos Gastos GC'!B24:B27)</f>
        <v>826.85500000000002</v>
      </c>
      <c r="J24" s="12">
        <f t="shared" si="47"/>
        <v>2.7021488013911243E-2</v>
      </c>
      <c r="K24" s="64">
        <f t="shared" si="48"/>
        <v>0.94108917147690097</v>
      </c>
      <c r="L24" s="64">
        <f t="shared" si="49"/>
        <v>838.38401614417546</v>
      </c>
      <c r="M24" s="27">
        <v>821.50796561183097</v>
      </c>
      <c r="N24" s="98" t="s">
        <v>15</v>
      </c>
      <c r="O24" s="46">
        <f>SUM('Datos Gastos GC'!E24:E27)</f>
        <v>1863.7</v>
      </c>
      <c r="P24" s="64">
        <f t="shared" si="50"/>
        <v>2.4799296161882811E-2</v>
      </c>
      <c r="Q24" s="64">
        <f t="shared" si="51"/>
        <v>0.86369592474631673</v>
      </c>
      <c r="R24" s="64">
        <f t="shared" si="52"/>
        <v>1887.5353299461483</v>
      </c>
      <c r="T24" s="98" t="s">
        <v>15</v>
      </c>
      <c r="U24" s="46">
        <f>SUM('Datos Gastos GC'!H24:H27)</f>
        <v>329.09999999999997</v>
      </c>
      <c r="V24" s="64">
        <f t="shared" si="53"/>
        <v>6.7120622568093369E-2</v>
      </c>
      <c r="W24" s="64">
        <f t="shared" si="54"/>
        <v>2.3376392539560107</v>
      </c>
      <c r="X24" s="64">
        <f t="shared" si="55"/>
        <v>340.61641900505998</v>
      </c>
      <c r="Z24" s="98" t="s">
        <v>15</v>
      </c>
      <c r="AA24" s="46">
        <f>SUM('Datos Gastos GC'!K24:K27)</f>
        <v>672.76585300475915</v>
      </c>
      <c r="AB24" s="64">
        <f t="shared" si="56"/>
        <v>-4.4366686072785266E-2</v>
      </c>
      <c r="AC24" s="64">
        <f t="shared" si="57"/>
        <v>-1.5451779641416454</v>
      </c>
      <c r="AD24" s="64">
        <f t="shared" si="58"/>
        <v>657.64289576666795</v>
      </c>
      <c r="AF24" s="98" t="s">
        <v>15</v>
      </c>
      <c r="AG24" s="46">
        <f>SUM('Datos Gastos GC'!N24:N27)</f>
        <v>659.85799999999995</v>
      </c>
      <c r="AH24" s="64">
        <f t="shared" si="59"/>
        <v>8.244940118753874E-3</v>
      </c>
      <c r="AI24" s="64">
        <f t="shared" si="60"/>
        <v>0.2871501325626527</v>
      </c>
      <c r="AJ24" s="64">
        <f t="shared" si="61"/>
        <v>662.65182445424387</v>
      </c>
      <c r="AK24" s="27">
        <v>628.81085648578198</v>
      </c>
      <c r="AL24" s="98" t="s">
        <v>15</v>
      </c>
      <c r="AM24" s="46">
        <f>SUM('Datos Gastos GC'!Q24:Q27)</f>
        <v>645.9</v>
      </c>
      <c r="AN24" s="64">
        <f t="shared" si="62"/>
        <v>-4.9028268551236875E-2</v>
      </c>
      <c r="AO24" s="64">
        <f t="shared" si="63"/>
        <v>-1.7075289342347342</v>
      </c>
      <c r="AP24" s="64">
        <f t="shared" si="64"/>
        <v>629.87452226536266</v>
      </c>
      <c r="AQ24" s="27">
        <v>661.73595172157502</v>
      </c>
      <c r="AR24" s="98" t="s">
        <v>15</v>
      </c>
      <c r="AS24" s="46">
        <f>SUM('Datos Gastos GC'!T24:T27)</f>
        <v>4998.1788530047597</v>
      </c>
      <c r="AT24" s="64">
        <f t="shared" si="65"/>
        <v>5.7179504782640667E-3</v>
      </c>
      <c r="AU24" s="64">
        <f t="shared" si="66"/>
        <v>0.19914156005639561</v>
      </c>
      <c r="AV24" s="64">
        <f t="shared" si="67"/>
        <v>5012.8455373812903</v>
      </c>
      <c r="AW24" s="27">
        <v>5011.7879235301898</v>
      </c>
      <c r="AY24" s="255" t="s">
        <v>15</v>
      </c>
      <c r="AZ24" s="251">
        <f t="shared" si="37"/>
        <v>838.38401614417546</v>
      </c>
      <c r="BA24" s="251">
        <f t="shared" si="38"/>
        <v>1887.5353299461483</v>
      </c>
      <c r="BB24" s="251">
        <f t="shared" si="39"/>
        <v>340.61641900505998</v>
      </c>
      <c r="BC24" s="251">
        <f t="shared" si="40"/>
        <v>657.64289576666795</v>
      </c>
      <c r="BD24" s="251">
        <f t="shared" si="41"/>
        <v>662.65182445424387</v>
      </c>
      <c r="BE24" s="251">
        <f t="shared" si="42"/>
        <v>629.87452226536266</v>
      </c>
      <c r="BF24" s="251">
        <f t="shared" ref="BF24:BF80" si="71">SUM(AZ24:BE24)</f>
        <v>5016.7050075816578</v>
      </c>
      <c r="BG24" s="64">
        <f t="shared" si="43"/>
        <v>4998.1788530047588</v>
      </c>
      <c r="BH24" s="64">
        <f t="shared" si="68"/>
        <v>4178.320991437482</v>
      </c>
      <c r="BI24" s="64">
        <f t="shared" si="69"/>
        <v>3724.1786608620519</v>
      </c>
      <c r="BJ24" s="64">
        <f t="shared" si="44"/>
        <v>3692.4208530047595</v>
      </c>
      <c r="BK24" s="64">
        <f t="shared" si="70"/>
        <v>1292.5263467196064</v>
      </c>
      <c r="BL24" s="64">
        <f t="shared" si="45"/>
        <v>1305.7579999999998</v>
      </c>
    </row>
    <row r="25" spans="1:64" x14ac:dyDescent="0.25">
      <c r="A25" s="98" t="s">
        <v>16</v>
      </c>
      <c r="B25" s="220">
        <f>'Ingreso estructural no oil'!K24</f>
        <v>43177.791788571099</v>
      </c>
      <c r="C25" s="40">
        <f>'Ingreso estructural no oil'!L24</f>
        <v>42612.584999999999</v>
      </c>
      <c r="D25" s="12">
        <f t="shared" si="36"/>
        <v>1.0132638465507573</v>
      </c>
      <c r="E25" s="64">
        <f>'Ingreso estructural no oil'!N24</f>
        <v>33270.702999999994</v>
      </c>
      <c r="F25" s="12">
        <f t="shared" si="46"/>
        <v>2.5833183562386397E-2</v>
      </c>
      <c r="H25" s="98" t="s">
        <v>16</v>
      </c>
      <c r="I25" s="46">
        <f>SUM('Datos Gastos GC'!B25:B28)</f>
        <v>860.10400000000004</v>
      </c>
      <c r="J25" s="12">
        <f t="shared" si="47"/>
        <v>4.0211403450423511E-2</v>
      </c>
      <c r="K25" s="64">
        <f t="shared" si="48"/>
        <v>1.5565794805473403</v>
      </c>
      <c r="L25" s="64">
        <f t="shared" si="49"/>
        <v>877.92732614370209</v>
      </c>
      <c r="M25" s="27">
        <v>822.64737701049103</v>
      </c>
      <c r="N25" s="98" t="s">
        <v>16</v>
      </c>
      <c r="O25" s="46">
        <f>SUM('Datos Gastos GC'!E25:E28)</f>
        <v>1928.7423488700001</v>
      </c>
      <c r="P25" s="64">
        <f t="shared" si="50"/>
        <v>3.4899580871385005E-2</v>
      </c>
      <c r="Q25" s="64">
        <f t="shared" si="51"/>
        <v>1.3509593499037205</v>
      </c>
      <c r="R25" s="64">
        <f t="shared" si="52"/>
        <v>1963.3835362378115</v>
      </c>
      <c r="T25" s="98" t="s">
        <v>16</v>
      </c>
      <c r="U25" s="46">
        <f>SUM('Datos Gastos GC'!H25:H28)</f>
        <v>337.70826178000004</v>
      </c>
      <c r="V25" s="64">
        <f t="shared" si="53"/>
        <v>2.6156978972956768E-2</v>
      </c>
      <c r="W25" s="64">
        <f t="shared" si="54"/>
        <v>1.012534088560491</v>
      </c>
      <c r="X25" s="64">
        <f t="shared" si="55"/>
        <v>342.24409179343058</v>
      </c>
      <c r="Z25" s="98" t="s">
        <v>16</v>
      </c>
      <c r="AA25" s="46">
        <f>SUM('Datos Gastos GC'!K25:K28)</f>
        <v>742.07197089809256</v>
      </c>
      <c r="AB25" s="64">
        <f t="shared" si="56"/>
        <v>0.10301669976826711</v>
      </c>
      <c r="AC25" s="64">
        <f t="shared" si="57"/>
        <v>3.9877663362506111</v>
      </c>
      <c r="AD25" s="64">
        <f t="shared" si="58"/>
        <v>782.10706521886686</v>
      </c>
      <c r="AF25" s="98" t="s">
        <v>16</v>
      </c>
      <c r="AG25" s="46">
        <f>SUM('Datos Gastos GC'!N25:N28)</f>
        <v>669.9673762066667</v>
      </c>
      <c r="AH25" s="64">
        <f t="shared" si="59"/>
        <v>1.5320532912636908E-2</v>
      </c>
      <c r="AI25" s="64">
        <f t="shared" si="60"/>
        <v>0.59305632523526419</v>
      </c>
      <c r="AJ25" s="64">
        <f t="shared" si="61"/>
        <v>675.22334372386899</v>
      </c>
      <c r="AK25" s="27">
        <v>629.18547395157202</v>
      </c>
      <c r="AL25" s="98" t="s">
        <v>16</v>
      </c>
      <c r="AM25" s="46">
        <f>SUM('Datos Gastos GC'!Q25:Q28)</f>
        <v>618.4391575384592</v>
      </c>
      <c r="AN25" s="64">
        <f t="shared" si="62"/>
        <v>-4.2515625424277448E-2</v>
      </c>
      <c r="AO25" s="64">
        <f t="shared" si="63"/>
        <v>-1.6457756869804077</v>
      </c>
      <c r="AP25" s="64">
        <f t="shared" si="64"/>
        <v>605.17217398162802</v>
      </c>
      <c r="AQ25" s="27">
        <v>661.21667145759</v>
      </c>
      <c r="AR25" s="98" t="s">
        <v>16</v>
      </c>
      <c r="AS25" s="46">
        <f>SUM('Datos Gastos GC'!T25:T28)</f>
        <v>5157.0331152932185</v>
      </c>
      <c r="AT25" s="64">
        <f t="shared" si="65"/>
        <v>3.1782428552543651E-2</v>
      </c>
      <c r="AU25" s="64">
        <f t="shared" si="66"/>
        <v>1.2302946896107481</v>
      </c>
      <c r="AV25" s="64">
        <f t="shared" si="67"/>
        <v>5241.3159450380717</v>
      </c>
      <c r="AW25" s="27">
        <v>5116.9719027541196</v>
      </c>
      <c r="AY25" s="255" t="s">
        <v>16</v>
      </c>
      <c r="AZ25" s="251">
        <f t="shared" si="37"/>
        <v>877.92732614370209</v>
      </c>
      <c r="BA25" s="251">
        <f t="shared" si="38"/>
        <v>1963.3835362378115</v>
      </c>
      <c r="BB25" s="251">
        <f t="shared" si="39"/>
        <v>342.24409179343058</v>
      </c>
      <c r="BC25" s="251">
        <f t="shared" si="40"/>
        <v>782.10706521886686</v>
      </c>
      <c r="BD25" s="251">
        <f t="shared" si="41"/>
        <v>675.22334372386899</v>
      </c>
      <c r="BE25" s="251">
        <f t="shared" si="42"/>
        <v>605.17217398162802</v>
      </c>
      <c r="BF25" s="251">
        <f t="shared" si="71"/>
        <v>5246.0575370993083</v>
      </c>
      <c r="BG25" s="64">
        <f t="shared" si="43"/>
        <v>5157.0331152932185</v>
      </c>
      <c r="BH25" s="64">
        <f t="shared" si="68"/>
        <v>4368.1302109556063</v>
      </c>
      <c r="BI25" s="64">
        <f t="shared" si="69"/>
        <v>3965.6620193938111</v>
      </c>
      <c r="BJ25" s="64">
        <f t="shared" si="44"/>
        <v>3868.6265815480929</v>
      </c>
      <c r="BK25" s="64">
        <f t="shared" si="70"/>
        <v>1280.395517705497</v>
      </c>
      <c r="BL25" s="64">
        <f t="shared" si="45"/>
        <v>1288.4065337451259</v>
      </c>
    </row>
    <row r="26" spans="1:64" x14ac:dyDescent="0.25">
      <c r="A26" s="98" t="s">
        <v>17</v>
      </c>
      <c r="B26" s="220">
        <f>'Ingreso estructural no oil'!K25</f>
        <v>43807.748184227297</v>
      </c>
      <c r="C26" s="40">
        <f>'Ingreso estructural no oil'!L25</f>
        <v>43654.343000000001</v>
      </c>
      <c r="D26" s="12">
        <f t="shared" si="36"/>
        <v>1.0035140875726225</v>
      </c>
      <c r="E26" s="64">
        <f>'Ingreso estructural no oil'!N25</f>
        <v>34347.221000000005</v>
      </c>
      <c r="F26" s="12">
        <f t="shared" si="46"/>
        <v>3.2356334640720075E-2</v>
      </c>
      <c r="H26" s="98" t="s">
        <v>17</v>
      </c>
      <c r="I26" s="46">
        <f>SUM('Datos Gastos GC'!B26:B29)</f>
        <v>855.35000818414323</v>
      </c>
      <c r="J26" s="12">
        <f t="shared" si="47"/>
        <v>-5.5272290512040634E-3</v>
      </c>
      <c r="K26" s="64">
        <f t="shared" si="48"/>
        <v>-0.170823707709096</v>
      </c>
      <c r="L26" s="64">
        <f t="shared" si="49"/>
        <v>854.83760418307509</v>
      </c>
      <c r="M26" s="27">
        <v>825.46514656602596</v>
      </c>
      <c r="N26" s="98" t="s">
        <v>17</v>
      </c>
      <c r="O26" s="46">
        <f>SUM('Datos Gastos GC'!E26:E29)</f>
        <v>1999.2754771144444</v>
      </c>
      <c r="P26" s="64">
        <f t="shared" si="50"/>
        <v>3.6569492180107854E-2</v>
      </c>
      <c r="Q26" s="64">
        <f t="shared" si="51"/>
        <v>1.1302112116891501</v>
      </c>
      <c r="R26" s="64">
        <f t="shared" si="52"/>
        <v>2007.2177367230011</v>
      </c>
      <c r="T26" s="98" t="s">
        <v>17</v>
      </c>
      <c r="U26" s="46">
        <f>SUM('Datos Gastos GC'!H26:H29)</f>
        <v>341.42866778000001</v>
      </c>
      <c r="V26" s="64">
        <f t="shared" si="53"/>
        <v>1.101662713369933E-2</v>
      </c>
      <c r="W26" s="64">
        <f t="shared" si="54"/>
        <v>0.34047821720310162</v>
      </c>
      <c r="X26" s="64">
        <f t="shared" si="55"/>
        <v>341.83670456496037</v>
      </c>
      <c r="Z26" s="98" t="s">
        <v>17</v>
      </c>
      <c r="AA26" s="46">
        <f>SUM('Datos Gastos GC'!K26:K29)</f>
        <v>794.59214607305512</v>
      </c>
      <c r="AB26" s="64">
        <f t="shared" si="56"/>
        <v>7.0775042360648577E-2</v>
      </c>
      <c r="AC26" s="64">
        <f t="shared" si="57"/>
        <v>2.187362788354247</v>
      </c>
      <c r="AD26" s="64">
        <f t="shared" si="58"/>
        <v>800.71259063364562</v>
      </c>
      <c r="AF26" s="98" t="s">
        <v>17</v>
      </c>
      <c r="AG26" s="46">
        <f>SUM('Datos Gastos GC'!N26:N29)</f>
        <v>701.99315174666674</v>
      </c>
      <c r="AH26" s="64">
        <f t="shared" si="59"/>
        <v>4.7801992570636775E-2</v>
      </c>
      <c r="AI26" s="64">
        <f t="shared" si="60"/>
        <v>1.4773611752203391</v>
      </c>
      <c r="AJ26" s="64">
        <f t="shared" si="61"/>
        <v>705.64065782329533</v>
      </c>
      <c r="AK26" s="27">
        <v>629.62114652802597</v>
      </c>
      <c r="AL26" s="98" t="s">
        <v>17</v>
      </c>
      <c r="AM26" s="46">
        <f>SUM('Datos Gastos GC'!Q26:Q29)</f>
        <v>622.25570679855787</v>
      </c>
      <c r="AN26" s="64">
        <f t="shared" si="62"/>
        <v>6.1712606868062903E-3</v>
      </c>
      <c r="AO26" s="64">
        <f t="shared" si="63"/>
        <v>0.19072805233754225</v>
      </c>
      <c r="AP26" s="64">
        <f t="shared" si="64"/>
        <v>622.67217262959332</v>
      </c>
      <c r="AQ26" s="27">
        <v>661.43280022392605</v>
      </c>
      <c r="AR26" s="98" t="s">
        <v>17</v>
      </c>
      <c r="AS26" s="46">
        <f>SUM('Datos Gastos GC'!T26:T29)</f>
        <v>5314.8951576968675</v>
      </c>
      <c r="AT26" s="64">
        <f t="shared" si="65"/>
        <v>3.0611019722853516E-2</v>
      </c>
      <c r="AU26" s="64">
        <f t="shared" si="66"/>
        <v>0.94605956029178595</v>
      </c>
      <c r="AV26" s="64">
        <f t="shared" si="67"/>
        <v>5332.5630461674764</v>
      </c>
      <c r="AW26" s="27">
        <v>5221.36054674559</v>
      </c>
      <c r="AY26" s="255" t="s">
        <v>17</v>
      </c>
      <c r="AZ26" s="251">
        <f t="shared" si="37"/>
        <v>854.83760418307509</v>
      </c>
      <c r="BA26" s="251">
        <f t="shared" si="38"/>
        <v>2007.2177367230011</v>
      </c>
      <c r="BB26" s="251">
        <f t="shared" si="39"/>
        <v>341.83670456496037</v>
      </c>
      <c r="BC26" s="251">
        <f t="shared" si="40"/>
        <v>800.71259063364562</v>
      </c>
      <c r="BD26" s="251">
        <f t="shared" si="41"/>
        <v>705.64065782329533</v>
      </c>
      <c r="BE26" s="251">
        <f t="shared" si="42"/>
        <v>622.67217262959332</v>
      </c>
      <c r="BF26" s="251">
        <f t="shared" si="71"/>
        <v>5332.9174665575711</v>
      </c>
      <c r="BG26" s="64">
        <f t="shared" si="43"/>
        <v>5314.8951576968675</v>
      </c>
      <c r="BH26" s="64">
        <f t="shared" si="68"/>
        <v>4478.0798623744959</v>
      </c>
      <c r="BI26" s="64">
        <f t="shared" si="69"/>
        <v>4004.604636104682</v>
      </c>
      <c r="BJ26" s="64">
        <f t="shared" si="44"/>
        <v>3990.6462991516428</v>
      </c>
      <c r="BK26" s="64">
        <f t="shared" si="70"/>
        <v>1328.3128304528886</v>
      </c>
      <c r="BL26" s="64">
        <f t="shared" si="45"/>
        <v>1324.2488585452247</v>
      </c>
    </row>
    <row r="27" spans="1:64" x14ac:dyDescent="0.25">
      <c r="A27" s="98" t="s">
        <v>18</v>
      </c>
      <c r="B27" s="220">
        <f>'Ingreso estructural no oil'!K26</f>
        <v>44460.0912585517</v>
      </c>
      <c r="C27" s="40">
        <f>'Ingreso estructural no oil'!L26</f>
        <v>44593.251000000004</v>
      </c>
      <c r="D27" s="12">
        <f t="shared" si="36"/>
        <v>0.99701390370824716</v>
      </c>
      <c r="E27" s="64">
        <f>'Ingreso estructural no oil'!N26</f>
        <v>35434.224999999999</v>
      </c>
      <c r="F27" s="12">
        <f t="shared" si="46"/>
        <v>3.1647509415681396E-2</v>
      </c>
      <c r="H27" s="98" t="s">
        <v>18</v>
      </c>
      <c r="I27" s="46">
        <f>SUM('Datos Gastos GC'!B27:B30)</f>
        <v>845.70517069585503</v>
      </c>
      <c r="J27" s="12">
        <f t="shared" si="47"/>
        <v>-1.1275895710533335E-2</v>
      </c>
      <c r="K27" s="64">
        <f t="shared" si="48"/>
        <v>-0.35629646435766943</v>
      </c>
      <c r="L27" s="64">
        <f t="shared" si="49"/>
        <v>846.60677283707446</v>
      </c>
      <c r="M27" s="27">
        <v>829.76371099735002</v>
      </c>
      <c r="N27" s="98" t="s">
        <v>18</v>
      </c>
      <c r="O27" s="46">
        <f>SUM('Datos Gastos GC'!E27:E30)</f>
        <v>2061.2235725644446</v>
      </c>
      <c r="P27" s="64">
        <f t="shared" si="50"/>
        <v>3.0985272494518767E-2</v>
      </c>
      <c r="Q27" s="64">
        <f t="shared" si="51"/>
        <v>0.97907459596695812</v>
      </c>
      <c r="R27" s="64">
        <f t="shared" si="52"/>
        <v>2055.197168145774</v>
      </c>
      <c r="T27" s="98" t="s">
        <v>18</v>
      </c>
      <c r="U27" s="46">
        <f>SUM('Datos Gastos GC'!H27:H30)</f>
        <v>331.90466778000001</v>
      </c>
      <c r="V27" s="64">
        <f t="shared" si="53"/>
        <v>-2.78945527975899E-2</v>
      </c>
      <c r="W27" s="64">
        <f t="shared" si="54"/>
        <v>-0.88141383990767064</v>
      </c>
      <c r="X27" s="64">
        <f t="shared" si="55"/>
        <v>332.7806973665576</v>
      </c>
      <c r="Z27" s="98" t="s">
        <v>18</v>
      </c>
      <c r="AA27" s="46">
        <f>SUM('Datos Gastos GC'!K27:K30)</f>
        <v>849.69039990080796</v>
      </c>
      <c r="AB27" s="64">
        <f t="shared" si="56"/>
        <v>6.9341553525356758E-2</v>
      </c>
      <c r="AC27" s="64">
        <f t="shared" si="57"/>
        <v>2.1910587848975531</v>
      </c>
      <c r="AD27" s="64">
        <f t="shared" si="58"/>
        <v>844.14100412106575</v>
      </c>
      <c r="AF27" s="98" t="s">
        <v>18</v>
      </c>
      <c r="AG27" s="46">
        <f>SUM('Datos Gastos GC'!N27:N30)</f>
        <v>649.43157154666665</v>
      </c>
      <c r="AH27" s="64">
        <f t="shared" si="59"/>
        <v>-7.4874776298342494E-2</v>
      </c>
      <c r="AI27" s="64">
        <f t="shared" si="60"/>
        <v>-2.3658979073165836</v>
      </c>
      <c r="AJ27" s="64">
        <f t="shared" si="61"/>
        <v>654.042832918832</v>
      </c>
      <c r="AK27" s="27">
        <v>631.22025343631401</v>
      </c>
      <c r="AL27" s="98" t="s">
        <v>18</v>
      </c>
      <c r="AM27" s="46">
        <f>SUM('Datos Gastos GC'!Q27:Q30)</f>
        <v>655.94966289031413</v>
      </c>
      <c r="AN27" s="64">
        <f t="shared" si="62"/>
        <v>5.4148086909653559E-2</v>
      </c>
      <c r="AO27" s="64">
        <f t="shared" si="63"/>
        <v>1.7109746678145574</v>
      </c>
      <c r="AP27" s="64">
        <f t="shared" si="64"/>
        <v>652.60188596875753</v>
      </c>
      <c r="AQ27" s="27">
        <v>663.13219756738704</v>
      </c>
      <c r="AR27" s="98" t="s">
        <v>18</v>
      </c>
      <c r="AS27" s="46">
        <f>SUM('Datos Gastos GC'!T27:T30)</f>
        <v>5393.9050453780892</v>
      </c>
      <c r="AT27" s="64">
        <f t="shared" si="65"/>
        <v>1.4865747175991206E-2</v>
      </c>
      <c r="AU27" s="64">
        <f t="shared" si="66"/>
        <v>0.46972881754243834</v>
      </c>
      <c r="AV27" s="64">
        <f t="shared" si="67"/>
        <v>5386.333255774749</v>
      </c>
      <c r="AW27" s="27">
        <v>5328.0293847652702</v>
      </c>
      <c r="AY27" s="255" t="s">
        <v>18</v>
      </c>
      <c r="AZ27" s="251">
        <f t="shared" si="37"/>
        <v>846.60677283707446</v>
      </c>
      <c r="BA27" s="251">
        <f t="shared" si="38"/>
        <v>2055.197168145774</v>
      </c>
      <c r="BB27" s="251">
        <f t="shared" si="39"/>
        <v>332.7806973665576</v>
      </c>
      <c r="BC27" s="251">
        <f t="shared" si="40"/>
        <v>844.14100412106575</v>
      </c>
      <c r="BD27" s="251">
        <f t="shared" si="41"/>
        <v>654.042832918832</v>
      </c>
      <c r="BE27" s="251">
        <f t="shared" si="42"/>
        <v>652.60188596875753</v>
      </c>
      <c r="BF27" s="251">
        <f t="shared" si="71"/>
        <v>5385.370361358061</v>
      </c>
      <c r="BG27" s="64">
        <f t="shared" si="43"/>
        <v>5393.9050453780883</v>
      </c>
      <c r="BH27" s="64">
        <f t="shared" si="68"/>
        <v>4538.7635885209866</v>
      </c>
      <c r="BI27" s="64">
        <f t="shared" si="69"/>
        <v>4078.7256424704715</v>
      </c>
      <c r="BJ27" s="64">
        <f t="shared" si="44"/>
        <v>4088.5238109411075</v>
      </c>
      <c r="BK27" s="64">
        <f t="shared" si="70"/>
        <v>1306.6447188875895</v>
      </c>
      <c r="BL27" s="64">
        <f t="shared" si="45"/>
        <v>1305.3812344369808</v>
      </c>
    </row>
    <row r="28" spans="1:64" x14ac:dyDescent="0.25">
      <c r="A28" s="98" t="s">
        <v>19</v>
      </c>
      <c r="B28" s="220">
        <f>'Ingreso estructural no oil'!K27</f>
        <v>45120.276761328903</v>
      </c>
      <c r="C28" s="40">
        <f>'Ingreso estructural no oil'!L27</f>
        <v>45406.709999999992</v>
      </c>
      <c r="D28" s="12">
        <f t="shared" si="36"/>
        <v>0.99369183015745721</v>
      </c>
      <c r="E28" s="64">
        <f>'Ingreso estructural no oil'!N27</f>
        <v>36591.661</v>
      </c>
      <c r="F28" s="12">
        <f t="shared" si="46"/>
        <v>3.2664352049466272E-2</v>
      </c>
      <c r="H28" s="98" t="s">
        <v>19</v>
      </c>
      <c r="I28" s="46">
        <f>SUM('Datos Gastos GC'!B28:B31)</f>
        <v>813.52135159099578</v>
      </c>
      <c r="J28" s="12">
        <f t="shared" si="47"/>
        <v>-3.8055601668342764E-2</v>
      </c>
      <c r="K28" s="64">
        <f t="shared" si="48"/>
        <v>-1.1650499483569148</v>
      </c>
      <c r="L28" s="64">
        <f t="shared" si="49"/>
        <v>819.54129238825305</v>
      </c>
      <c r="M28" s="27">
        <v>835.64085555771396</v>
      </c>
      <c r="N28" s="98" t="s">
        <v>19</v>
      </c>
      <c r="O28" s="46">
        <f>SUM('Datos Gastos GC'!E28:E31)</f>
        <v>2048.778017008889</v>
      </c>
      <c r="P28" s="64">
        <f t="shared" si="50"/>
        <v>-6.0379454811257949E-3</v>
      </c>
      <c r="Q28" s="64">
        <f t="shared" si="51"/>
        <v>-0.18484816328155065</v>
      </c>
      <c r="R28" s="64">
        <f t="shared" si="52"/>
        <v>2051.1759711367117</v>
      </c>
      <c r="T28" s="98" t="s">
        <v>19</v>
      </c>
      <c r="U28" s="46">
        <f>SUM('Datos Gastos GC'!H28:H31)</f>
        <v>363.42466777999994</v>
      </c>
      <c r="V28" s="64">
        <f t="shared" si="53"/>
        <v>9.4967028366388151E-2</v>
      </c>
      <c r="W28" s="64">
        <f t="shared" si="54"/>
        <v>2.9073599323988395</v>
      </c>
      <c r="X28" s="64">
        <f t="shared" si="55"/>
        <v>356.79943714836759</v>
      </c>
      <c r="Z28" s="98" t="s">
        <v>19</v>
      </c>
      <c r="AA28" s="46">
        <f>SUM('Datos Gastos GC'!K28:K31)</f>
        <v>877.53774127713496</v>
      </c>
      <c r="AB28" s="64">
        <f t="shared" si="56"/>
        <v>3.2773515364629136E-2</v>
      </c>
      <c r="AC28" s="64">
        <f t="shared" si="57"/>
        <v>1.0033419709350899</v>
      </c>
      <c r="AD28" s="64">
        <f t="shared" si="58"/>
        <v>871.98364282540672</v>
      </c>
      <c r="AF28" s="98" t="s">
        <v>19</v>
      </c>
      <c r="AG28" s="46">
        <f>SUM('Datos Gastos GC'!N28:N31)</f>
        <v>709.74833354666657</v>
      </c>
      <c r="AH28" s="64">
        <f t="shared" si="59"/>
        <v>9.2876239226176383E-2</v>
      </c>
      <c r="AI28" s="64">
        <f t="shared" si="60"/>
        <v>2.8433516478614478</v>
      </c>
      <c r="AJ28" s="64">
        <f t="shared" si="61"/>
        <v>697.09192623203762</v>
      </c>
      <c r="AK28" s="27">
        <v>635.80896243232803</v>
      </c>
      <c r="AL28" s="98" t="s">
        <v>19</v>
      </c>
      <c r="AM28" s="46">
        <f>SUM('Datos Gastos GC'!Q28:Q31)</f>
        <v>684.79983014188065</v>
      </c>
      <c r="AN28" s="64">
        <f t="shared" si="62"/>
        <v>4.3982288403722869E-2</v>
      </c>
      <c r="AO28" s="64">
        <f t="shared" si="63"/>
        <v>1.3464919903237917</v>
      </c>
      <c r="AP28" s="64">
        <f t="shared" si="64"/>
        <v>678.98957429144548</v>
      </c>
      <c r="AQ28" s="27">
        <v>666.66839503253595</v>
      </c>
      <c r="AR28" s="98" t="s">
        <v>19</v>
      </c>
      <c r="AS28" s="46">
        <f>SUM('Datos Gastos GC'!T28:T31)</f>
        <v>5497.8099413455675</v>
      </c>
      <c r="AT28" s="64">
        <f t="shared" si="65"/>
        <v>1.9263389899032868E-2</v>
      </c>
      <c r="AU28" s="64">
        <f t="shared" si="66"/>
        <v>0.58973739536791536</v>
      </c>
      <c r="AV28" s="64">
        <f t="shared" si="67"/>
        <v>5477.3306439267717</v>
      </c>
      <c r="AW28" s="27">
        <v>5440.9903406063404</v>
      </c>
      <c r="AY28" s="255" t="s">
        <v>19</v>
      </c>
      <c r="AZ28" s="251">
        <f t="shared" si="37"/>
        <v>819.54129238825305</v>
      </c>
      <c r="BA28" s="251">
        <f t="shared" si="38"/>
        <v>2051.1759711367117</v>
      </c>
      <c r="BB28" s="251">
        <f t="shared" si="39"/>
        <v>356.79943714836759</v>
      </c>
      <c r="BC28" s="251">
        <f t="shared" si="40"/>
        <v>871.98364282540672</v>
      </c>
      <c r="BD28" s="251">
        <f t="shared" si="41"/>
        <v>697.09192623203762</v>
      </c>
      <c r="BE28" s="251">
        <f t="shared" si="42"/>
        <v>678.98957429144548</v>
      </c>
      <c r="BF28" s="251">
        <f t="shared" si="71"/>
        <v>5475.5818440222229</v>
      </c>
      <c r="BG28" s="64">
        <f t="shared" si="43"/>
        <v>5497.8099413455675</v>
      </c>
      <c r="BH28" s="64">
        <f t="shared" si="68"/>
        <v>4656.0405516339697</v>
      </c>
      <c r="BI28" s="64">
        <f t="shared" si="69"/>
        <v>4099.5003434987393</v>
      </c>
      <c r="BJ28" s="64">
        <f t="shared" si="44"/>
        <v>4103.2617776570196</v>
      </c>
      <c r="BK28" s="64">
        <f t="shared" si="70"/>
        <v>1376.0815005234831</v>
      </c>
      <c r="BL28" s="64">
        <f t="shared" si="45"/>
        <v>1394.5481636885472</v>
      </c>
    </row>
    <row r="29" spans="1:64" x14ac:dyDescent="0.25">
      <c r="A29" s="98" t="s">
        <v>20</v>
      </c>
      <c r="B29" s="220">
        <f>'Ingreso estructural no oil'!K28</f>
        <v>45775.092529758098</v>
      </c>
      <c r="C29" s="40">
        <f>'Ingreso estructural no oil'!L28</f>
        <v>46087.112999999998</v>
      </c>
      <c r="D29" s="12">
        <f t="shared" si="36"/>
        <v>0.99322976750047465</v>
      </c>
      <c r="E29" s="64">
        <f>'Ingreso estructural no oil'!N28</f>
        <v>37600.598000000005</v>
      </c>
      <c r="F29" s="12">
        <f t="shared" si="46"/>
        <v>2.7572866943646135E-2</v>
      </c>
      <c r="H29" s="98" t="s">
        <v>20</v>
      </c>
      <c r="I29" s="46">
        <f>SUM('Datos Gastos GC'!B29:B32)</f>
        <v>816.44052959099577</v>
      </c>
      <c r="J29" s="12">
        <f t="shared" si="47"/>
        <v>3.5883237659233291E-3</v>
      </c>
      <c r="K29" s="64">
        <f t="shared" si="48"/>
        <v>0.13013966858278475</v>
      </c>
      <c r="L29" s="64">
        <f t="shared" si="49"/>
        <v>815.71905643447644</v>
      </c>
      <c r="M29" s="27">
        <v>843.35672839039898</v>
      </c>
      <c r="N29" s="98" t="s">
        <v>20</v>
      </c>
      <c r="O29" s="46">
        <f>SUM('Datos Gastos GC'!E29:E32)</f>
        <v>2101.626925998889</v>
      </c>
      <c r="P29" s="64">
        <f t="shared" si="50"/>
        <v>2.5795331925298814E-2</v>
      </c>
      <c r="Q29" s="64">
        <f t="shared" si="51"/>
        <v>0.93553318115304174</v>
      </c>
      <c r="R29" s="64">
        <f t="shared" si="52"/>
        <v>2088.3127775196795</v>
      </c>
      <c r="T29" s="98" t="s">
        <v>20</v>
      </c>
      <c r="U29" s="46">
        <f>SUM('Datos Gastos GC'!H29:H32)</f>
        <v>374.90924968000002</v>
      </c>
      <c r="V29" s="64">
        <f t="shared" si="53"/>
        <v>3.1600997175437406E-2</v>
      </c>
      <c r="W29" s="64">
        <f t="shared" si="54"/>
        <v>1.1460903663019166</v>
      </c>
      <c r="X29" s="64">
        <f t="shared" si="55"/>
        <v>372.00165839010873</v>
      </c>
      <c r="Z29" s="98" t="s">
        <v>20</v>
      </c>
      <c r="AA29" s="46">
        <f>SUM('Datos Gastos GC'!K29:K32)</f>
        <v>1006.046694771135</v>
      </c>
      <c r="AB29" s="64">
        <f t="shared" si="56"/>
        <v>0.14644265135192125</v>
      </c>
      <c r="AC29" s="64">
        <f t="shared" si="57"/>
        <v>5.3111144245980322</v>
      </c>
      <c r="AD29" s="64">
        <f t="shared" si="58"/>
        <v>970.39578488676375</v>
      </c>
      <c r="AF29" s="98" t="s">
        <v>20</v>
      </c>
      <c r="AG29" s="46">
        <f>SUM('Datos Gastos GC'!N29:N32)</f>
        <v>687.89618059999998</v>
      </c>
      <c r="AH29" s="64">
        <f t="shared" si="59"/>
        <v>-3.078859352507346E-2</v>
      </c>
      <c r="AI29" s="64">
        <f t="shared" si="60"/>
        <v>-1.1166264860306212</v>
      </c>
      <c r="AJ29" s="64">
        <f t="shared" si="61"/>
        <v>693.13407725453874</v>
      </c>
      <c r="AK29" s="27">
        <v>645.39123873759604</v>
      </c>
      <c r="AL29" s="98" t="s">
        <v>20</v>
      </c>
      <c r="AM29" s="46">
        <f>SUM('Datos Gastos GC'!Q29:Q32)</f>
        <v>673.79249572160256</v>
      </c>
      <c r="AN29" s="64">
        <f t="shared" si="62"/>
        <v>-1.6073798409087736E-2</v>
      </c>
      <c r="AO29" s="64">
        <f t="shared" si="63"/>
        <v>-0.58295709481134561</v>
      </c>
      <c r="AP29" s="64">
        <f t="shared" si="64"/>
        <v>676.46612304977782</v>
      </c>
      <c r="AQ29" s="27">
        <v>672.32360218826102</v>
      </c>
      <c r="AR29" s="98" t="s">
        <v>20</v>
      </c>
      <c r="AS29" s="46">
        <f>SUM('Datos Gastos GC'!T29:T32)</f>
        <v>5660.7120763626226</v>
      </c>
      <c r="AT29" s="64">
        <f t="shared" si="65"/>
        <v>2.9630368593132062E-2</v>
      </c>
      <c r="AU29" s="64">
        <f t="shared" si="66"/>
        <v>1.0746205192840876</v>
      </c>
      <c r="AV29" s="64">
        <f t="shared" si="67"/>
        <v>5619.5383824432874</v>
      </c>
      <c r="AW29" s="27">
        <v>5564.91504421434</v>
      </c>
      <c r="AY29" s="255" t="s">
        <v>20</v>
      </c>
      <c r="AZ29" s="251">
        <f t="shared" si="37"/>
        <v>815.71905643447644</v>
      </c>
      <c r="BA29" s="251">
        <f t="shared" si="38"/>
        <v>2088.3127775196795</v>
      </c>
      <c r="BB29" s="251">
        <f t="shared" si="39"/>
        <v>372.00165839010873</v>
      </c>
      <c r="BC29" s="251">
        <f t="shared" si="40"/>
        <v>970.39578488676375</v>
      </c>
      <c r="BD29" s="251">
        <f t="shared" si="41"/>
        <v>693.13407725453874</v>
      </c>
      <c r="BE29" s="251">
        <f t="shared" si="42"/>
        <v>676.46612304977782</v>
      </c>
      <c r="BF29" s="251">
        <f t="shared" si="71"/>
        <v>5616.029477535345</v>
      </c>
      <c r="BG29" s="64">
        <f t="shared" si="43"/>
        <v>5660.7120763626226</v>
      </c>
      <c r="BH29" s="64">
        <f t="shared" si="68"/>
        <v>4800.3104211008686</v>
      </c>
      <c r="BI29" s="64">
        <f t="shared" si="69"/>
        <v>4246.4292772310282</v>
      </c>
      <c r="BJ29" s="64">
        <f t="shared" si="44"/>
        <v>4299.0234000410201</v>
      </c>
      <c r="BK29" s="64">
        <f t="shared" si="70"/>
        <v>1369.6002003043166</v>
      </c>
      <c r="BL29" s="64">
        <f t="shared" si="45"/>
        <v>1361.6886763216025</v>
      </c>
    </row>
    <row r="30" spans="1:64" x14ac:dyDescent="0.25">
      <c r="A30" s="98" t="s">
        <v>21</v>
      </c>
      <c r="B30" s="220">
        <f>'Ingreso estructural no oil'!K29</f>
        <v>46414.190633425002</v>
      </c>
      <c r="C30" s="40">
        <f>'Ingreso estructural no oil'!L29</f>
        <v>46740.955999999998</v>
      </c>
      <c r="D30" s="12">
        <f t="shared" si="36"/>
        <v>0.99300901405236564</v>
      </c>
      <c r="E30" s="64">
        <f>'Ingreso estructural no oil'!N29</f>
        <v>38780.020000000004</v>
      </c>
      <c r="F30" s="12">
        <f t="shared" si="46"/>
        <v>3.1367107512492165E-2</v>
      </c>
      <c r="H30" s="98" t="s">
        <v>21</v>
      </c>
      <c r="I30" s="46">
        <f>SUM('Datos Gastos GC'!B30:B33)</f>
        <v>805.6835295909957</v>
      </c>
      <c r="J30" s="12">
        <f t="shared" si="47"/>
        <v>-1.317548505999433E-2</v>
      </c>
      <c r="K30" s="64">
        <f t="shared" si="48"/>
        <v>-0.42004144165180363</v>
      </c>
      <c r="L30" s="64">
        <f t="shared" si="49"/>
        <v>808.06123266497923</v>
      </c>
      <c r="M30" s="27">
        <v>852.95506908310597</v>
      </c>
      <c r="N30" s="98" t="s">
        <v>21</v>
      </c>
      <c r="O30" s="46">
        <f>SUM('Datos Gastos GC'!E30:E33)</f>
        <v>2137.6615688844445</v>
      </c>
      <c r="P30" s="64">
        <f t="shared" si="50"/>
        <v>1.7146070237194166E-2</v>
      </c>
      <c r="Q30" s="64">
        <f t="shared" si="51"/>
        <v>0.54662579998380878</v>
      </c>
      <c r="R30" s="64">
        <f t="shared" si="52"/>
        <v>2129.4796051077001</v>
      </c>
      <c r="T30" s="98" t="s">
        <v>21</v>
      </c>
      <c r="U30" s="46">
        <f>SUM('Datos Gastos GC'!H30:H33)</f>
        <v>362.82732011000002</v>
      </c>
      <c r="V30" s="64">
        <f t="shared" si="53"/>
        <v>-3.222627764002195E-2</v>
      </c>
      <c r="W30" s="64">
        <f t="shared" si="54"/>
        <v>-1.0273907986953408</v>
      </c>
      <c r="X30" s="64">
        <f t="shared" si="55"/>
        <v>365.45191735116668</v>
      </c>
      <c r="Z30" s="98" t="s">
        <v>21</v>
      </c>
      <c r="AA30" s="46">
        <f>SUM('Datos Gastos GC'!K30:K33)</f>
        <v>1057.2162163927101</v>
      </c>
      <c r="AB30" s="64">
        <f t="shared" si="56"/>
        <v>5.0861974784595532E-2</v>
      </c>
      <c r="AC30" s="64">
        <f t="shared" si="57"/>
        <v>1.6215066934156872</v>
      </c>
      <c r="AD30" s="64">
        <f t="shared" si="58"/>
        <v>1045.2577459100401</v>
      </c>
      <c r="AF30" s="98" t="s">
        <v>21</v>
      </c>
      <c r="AG30" s="46">
        <f>SUM('Datos Gastos GC'!N30:N33)</f>
        <v>638.3886862600001</v>
      </c>
      <c r="AH30" s="64">
        <f t="shared" si="59"/>
        <v>-7.196942756219149E-2</v>
      </c>
      <c r="AI30" s="64">
        <f t="shared" si="60"/>
        <v>-2.2944234667965215</v>
      </c>
      <c r="AJ30" s="64">
        <f t="shared" si="61"/>
        <v>648.74773137552825</v>
      </c>
      <c r="AK30" s="27">
        <v>662.71295794932098</v>
      </c>
      <c r="AL30" s="98" t="s">
        <v>21</v>
      </c>
      <c r="AM30" s="46">
        <f>SUM('Datos Gastos GC'!Q30:Q33)</f>
        <v>713.03504687060729</v>
      </c>
      <c r="AN30" s="64">
        <f t="shared" si="62"/>
        <v>5.8241300397650742E-2</v>
      </c>
      <c r="AO30" s="64">
        <f t="shared" si="63"/>
        <v>1.8567635021640343</v>
      </c>
      <c r="AP30" s="64">
        <f t="shared" si="64"/>
        <v>703.80714688238777</v>
      </c>
      <c r="AQ30" s="27">
        <v>680.56334465312705</v>
      </c>
      <c r="AR30" s="98" t="s">
        <v>21</v>
      </c>
      <c r="AS30" s="46">
        <f>SUM('Datos Gastos GC'!T30:T33)</f>
        <v>5714.8123681087563</v>
      </c>
      <c r="AT30" s="64">
        <f t="shared" si="65"/>
        <v>9.5571530606617383E-3</v>
      </c>
      <c r="AU30" s="64">
        <f t="shared" si="66"/>
        <v>0.30468710118889786</v>
      </c>
      <c r="AV30" s="64">
        <f t="shared" si="67"/>
        <v>5702.6097531159839</v>
      </c>
      <c r="AW30" s="27">
        <v>5705.0452221287396</v>
      </c>
      <c r="AY30" s="255" t="s">
        <v>21</v>
      </c>
      <c r="AZ30" s="251">
        <f t="shared" si="37"/>
        <v>808.06123266497923</v>
      </c>
      <c r="BA30" s="251">
        <f t="shared" si="38"/>
        <v>2129.4796051077001</v>
      </c>
      <c r="BB30" s="251">
        <f t="shared" si="39"/>
        <v>365.45191735116668</v>
      </c>
      <c r="BC30" s="251">
        <f t="shared" si="40"/>
        <v>1045.2577459100401</v>
      </c>
      <c r="BD30" s="251">
        <f t="shared" si="41"/>
        <v>648.74773137552825</v>
      </c>
      <c r="BE30" s="251">
        <f t="shared" si="42"/>
        <v>703.80714688238777</v>
      </c>
      <c r="BF30" s="251">
        <f t="shared" si="71"/>
        <v>5700.8053792918017</v>
      </c>
      <c r="BG30" s="64">
        <f t="shared" si="43"/>
        <v>5714.8123681087573</v>
      </c>
      <c r="BH30" s="64">
        <f t="shared" si="68"/>
        <v>4892.7441466268228</v>
      </c>
      <c r="BI30" s="64">
        <f t="shared" si="69"/>
        <v>4348.2505010338864</v>
      </c>
      <c r="BJ30" s="64">
        <f t="shared" si="44"/>
        <v>4363.3886349781496</v>
      </c>
      <c r="BK30" s="64">
        <f t="shared" si="70"/>
        <v>1352.554878257916</v>
      </c>
      <c r="BL30" s="64">
        <f t="shared" si="45"/>
        <v>1351.4237331306074</v>
      </c>
    </row>
    <row r="31" spans="1:64" x14ac:dyDescent="0.25">
      <c r="A31" s="98" t="s">
        <v>22</v>
      </c>
      <c r="B31" s="220">
        <f>'Ingreso estructural no oil'!K30</f>
        <v>47030.343216618101</v>
      </c>
      <c r="C31" s="40">
        <f>'Ingreso estructural no oil'!L30</f>
        <v>47289.586000000003</v>
      </c>
      <c r="D31" s="12">
        <f t="shared" si="36"/>
        <v>0.99451797308223633</v>
      </c>
      <c r="E31" s="64">
        <f>'Ingreso estructural no oil'!N30</f>
        <v>40218.524000000005</v>
      </c>
      <c r="F31" s="12">
        <f t="shared" si="46"/>
        <v>3.7093946831383784E-2</v>
      </c>
      <c r="H31" s="98" t="s">
        <v>22</v>
      </c>
      <c r="I31" s="46">
        <f>SUM('Datos Gastos GC'!B31:B34)</f>
        <v>830.04760288491048</v>
      </c>
      <c r="J31" s="12">
        <f t="shared" si="47"/>
        <v>3.0240252405659973E-2</v>
      </c>
      <c r="K31" s="64">
        <f t="shared" si="48"/>
        <v>0.8152341551337654</v>
      </c>
      <c r="L31" s="64">
        <f t="shared" si="49"/>
        <v>826.33612481947273</v>
      </c>
      <c r="M31" s="27">
        <v>864.206049939634</v>
      </c>
      <c r="N31" s="98" t="s">
        <v>22</v>
      </c>
      <c r="O31" s="46">
        <f>SUM('Datos Gastos GC'!E31:E34)</f>
        <v>2190.8937021244446</v>
      </c>
      <c r="P31" s="64">
        <f t="shared" si="50"/>
        <v>2.4902039693673217E-2</v>
      </c>
      <c r="Q31" s="64">
        <f t="shared" si="51"/>
        <v>0.67132353984517346</v>
      </c>
      <c r="R31" s="64">
        <f t="shared" si="52"/>
        <v>2182.8234634074174</v>
      </c>
      <c r="T31" s="98" t="s">
        <v>22</v>
      </c>
      <c r="U31" s="46">
        <f>SUM('Datos Gastos GC'!H31:H34)</f>
        <v>363.56973267000001</v>
      </c>
      <c r="V31" s="64">
        <f t="shared" si="53"/>
        <v>2.0461870395396264E-3</v>
      </c>
      <c r="W31" s="64">
        <f t="shared" si="54"/>
        <v>5.5162289654451788E-2</v>
      </c>
      <c r="X31" s="64">
        <f t="shared" si="55"/>
        <v>363.45950301212588</v>
      </c>
      <c r="Z31" s="98" t="s">
        <v>22</v>
      </c>
      <c r="AA31" s="46">
        <f>SUM('Datos Gastos GC'!K31:K34)</f>
        <v>1105.7922981234819</v>
      </c>
      <c r="AB31" s="64">
        <f t="shared" si="56"/>
        <v>4.5947159131285886E-2</v>
      </c>
      <c r="AC31" s="64">
        <f t="shared" si="57"/>
        <v>1.2386700002603048</v>
      </c>
      <c r="AD31" s="64">
        <f t="shared" si="58"/>
        <v>1098.2884205490932</v>
      </c>
      <c r="AF31" s="98" t="s">
        <v>22</v>
      </c>
      <c r="AG31" s="46">
        <f>SUM('Datos Gastos GC'!N31:N34)</f>
        <v>703.46660913999995</v>
      </c>
      <c r="AH31" s="64">
        <f t="shared" si="59"/>
        <v>0.10194090885485263</v>
      </c>
      <c r="AI31" s="64">
        <f t="shared" si="60"/>
        <v>2.7481817806619673</v>
      </c>
      <c r="AJ31" s="64">
        <f t="shared" si="61"/>
        <v>692.91917268034729</v>
      </c>
      <c r="AK31" s="27">
        <v>690.94608327733295</v>
      </c>
      <c r="AL31" s="98" t="s">
        <v>22</v>
      </c>
      <c r="AM31" s="46">
        <f>SUM('Datos Gastos GC'!Q31:Q34)</f>
        <v>711.02753340713309</v>
      </c>
      <c r="AN31" s="64">
        <f t="shared" si="62"/>
        <v>-2.8154485144662456E-3</v>
      </c>
      <c r="AO31" s="64">
        <f t="shared" si="63"/>
        <v>-7.5900483905481889E-2</v>
      </c>
      <c r="AP31" s="64">
        <f t="shared" si="64"/>
        <v>711.32425958750696</v>
      </c>
      <c r="AQ31" s="27">
        <v>691.86991202381398</v>
      </c>
      <c r="AR31" s="98" t="s">
        <v>22</v>
      </c>
      <c r="AS31" s="46">
        <f>SUM('Datos Gastos GC'!T31:T34)</f>
        <v>5904.7974783499694</v>
      </c>
      <c r="AT31" s="64">
        <f t="shared" si="65"/>
        <v>3.3244330347819595E-2</v>
      </c>
      <c r="AU31" s="64">
        <f t="shared" si="66"/>
        <v>0.89621981987888188</v>
      </c>
      <c r="AV31" s="64">
        <f t="shared" si="67"/>
        <v>5875.778341702292</v>
      </c>
      <c r="AW31" s="27">
        <v>5867.5834504468903</v>
      </c>
      <c r="AY31" s="255" t="s">
        <v>22</v>
      </c>
      <c r="AZ31" s="251">
        <f t="shared" si="37"/>
        <v>826.33612481947273</v>
      </c>
      <c r="BA31" s="251">
        <f t="shared" si="38"/>
        <v>2182.8234634074174</v>
      </c>
      <c r="BB31" s="251">
        <f t="shared" si="39"/>
        <v>363.45950301212588</v>
      </c>
      <c r="BC31" s="251">
        <f t="shared" si="40"/>
        <v>1098.2884205490932</v>
      </c>
      <c r="BD31" s="251">
        <f t="shared" si="41"/>
        <v>692.91917268034729</v>
      </c>
      <c r="BE31" s="251">
        <f t="shared" si="42"/>
        <v>711.32425958750696</v>
      </c>
      <c r="BF31" s="251">
        <f t="shared" si="71"/>
        <v>5875.1509440559639</v>
      </c>
      <c r="BG31" s="64">
        <f t="shared" si="43"/>
        <v>5904.7974783499694</v>
      </c>
      <c r="BH31" s="64">
        <f t="shared" si="68"/>
        <v>5048.8148192364915</v>
      </c>
      <c r="BI31" s="64">
        <f t="shared" si="69"/>
        <v>4470.9075117881093</v>
      </c>
      <c r="BJ31" s="64">
        <f t="shared" si="44"/>
        <v>4490.303335802837</v>
      </c>
      <c r="BK31" s="64">
        <f t="shared" si="70"/>
        <v>1404.2434322678541</v>
      </c>
      <c r="BL31" s="64">
        <f t="shared" si="45"/>
        <v>1414.4941425471329</v>
      </c>
    </row>
    <row r="32" spans="1:64" x14ac:dyDescent="0.25">
      <c r="A32" s="98" t="s">
        <v>23</v>
      </c>
      <c r="B32" s="220">
        <f>'Ingreso estructural no oil'!K31</f>
        <v>47619.590517291101</v>
      </c>
      <c r="C32" s="40">
        <f>'Ingreso estructural no oil'!L31</f>
        <v>47809.319000000003</v>
      </c>
      <c r="D32" s="12">
        <f t="shared" si="36"/>
        <v>0.99603155856060399</v>
      </c>
      <c r="E32" s="64">
        <f>'Ingreso estructural no oil'!N31</f>
        <v>41507.084999999999</v>
      </c>
      <c r="F32" s="12">
        <f t="shared" si="46"/>
        <v>3.2038992778551378E-2</v>
      </c>
      <c r="H32" s="98" t="s">
        <v>23</v>
      </c>
      <c r="I32" s="46">
        <f>SUM('Datos Gastos GC'!B32:B35)</f>
        <v>855.24442198976976</v>
      </c>
      <c r="J32" s="12">
        <f t="shared" si="47"/>
        <v>3.0355872382843208E-2</v>
      </c>
      <c r="K32" s="64">
        <f t="shared" si="48"/>
        <v>0.94746650098080043</v>
      </c>
      <c r="L32" s="64">
        <f t="shared" si="49"/>
        <v>852.02839695388445</v>
      </c>
      <c r="M32" s="27">
        <v>876.41029257294997</v>
      </c>
      <c r="N32" s="98" t="s">
        <v>23</v>
      </c>
      <c r="O32" s="46">
        <f>SUM('Datos Gastos GC'!E32:E35)</f>
        <v>2299.0068726155559</v>
      </c>
      <c r="P32" s="64">
        <f t="shared" si="50"/>
        <v>4.9346606997079379E-2</v>
      </c>
      <c r="Q32" s="64">
        <f t="shared" si="51"/>
        <v>1.5402046917690448</v>
      </c>
      <c r="R32" s="64">
        <f t="shared" si="52"/>
        <v>2284.9699262618988</v>
      </c>
      <c r="T32" s="98" t="s">
        <v>23</v>
      </c>
      <c r="U32" s="46">
        <f>SUM('Datos Gastos GC'!H32:H35)</f>
        <v>355.18210127999998</v>
      </c>
      <c r="V32" s="64">
        <f t="shared" si="53"/>
        <v>-2.3070213596722011E-2</v>
      </c>
      <c r="W32" s="64">
        <f t="shared" si="54"/>
        <v>-0.72006675603630244</v>
      </c>
      <c r="X32" s="64">
        <f t="shared" si="55"/>
        <v>356.20052583959756</v>
      </c>
      <c r="Z32" s="98" t="s">
        <v>23</v>
      </c>
      <c r="AA32" s="46">
        <f>SUM('Datos Gastos GC'!K32:K35)</f>
        <v>1211.0600354867543</v>
      </c>
      <c r="AB32" s="64">
        <f t="shared" si="56"/>
        <v>9.5196663552378213E-2</v>
      </c>
      <c r="AC32" s="64">
        <f t="shared" si="57"/>
        <v>2.971275164933024</v>
      </c>
      <c r="AD32" s="64">
        <f t="shared" si="58"/>
        <v>1196.8358088605091</v>
      </c>
      <c r="AF32" s="98" t="s">
        <v>23</v>
      </c>
      <c r="AG32" s="46">
        <f>SUM('Datos Gastos GC'!N32:N35)</f>
        <v>828.62748386999999</v>
      </c>
      <c r="AH32" s="64">
        <f t="shared" si="59"/>
        <v>0.17792013594363976</v>
      </c>
      <c r="AI32" s="64">
        <f t="shared" si="60"/>
        <v>5.5532374932444517</v>
      </c>
      <c r="AJ32" s="64">
        <f t="shared" si="61"/>
        <v>810.53065002733524</v>
      </c>
      <c r="AK32" s="27">
        <v>733.01544835196501</v>
      </c>
      <c r="AL32" s="98" t="s">
        <v>23</v>
      </c>
      <c r="AM32" s="46">
        <f>SUM('Datos Gastos GC'!Q32:Q35)</f>
        <v>682.96034104201885</v>
      </c>
      <c r="AN32" s="64">
        <f t="shared" si="62"/>
        <v>-3.947412870303435E-2</v>
      </c>
      <c r="AO32" s="64">
        <f t="shared" si="63"/>
        <v>-1.2320652205228015</v>
      </c>
      <c r="AP32" s="64">
        <f t="shared" si="64"/>
        <v>686.31444551325978</v>
      </c>
      <c r="AQ32" s="27">
        <v>707.04996045047096</v>
      </c>
      <c r="AR32" s="98" t="s">
        <v>23</v>
      </c>
      <c r="AS32" s="46">
        <f>SUM('Datos Gastos GC'!T32:T35)</f>
        <v>6232.0812562840983</v>
      </c>
      <c r="AT32" s="64">
        <f t="shared" si="65"/>
        <v>5.5426757502542667E-2</v>
      </c>
      <c r="AU32" s="64">
        <f t="shared" si="66"/>
        <v>1.7299781514869692</v>
      </c>
      <c r="AV32" s="64">
        <f t="shared" si="67"/>
        <v>6189.3580368622415</v>
      </c>
      <c r="AW32" s="27">
        <v>6058.8318530448196</v>
      </c>
      <c r="AY32" s="255" t="s">
        <v>23</v>
      </c>
      <c r="AZ32" s="251">
        <f t="shared" si="37"/>
        <v>852.02839695388445</v>
      </c>
      <c r="BA32" s="251">
        <f t="shared" si="38"/>
        <v>2284.9699262618988</v>
      </c>
      <c r="BB32" s="251">
        <f t="shared" si="39"/>
        <v>356.20052583959756</v>
      </c>
      <c r="BC32" s="251">
        <f t="shared" si="40"/>
        <v>1196.8358088605091</v>
      </c>
      <c r="BD32" s="251">
        <f t="shared" si="41"/>
        <v>810.53065002733524</v>
      </c>
      <c r="BE32" s="251">
        <f t="shared" si="42"/>
        <v>686.31444551325978</v>
      </c>
      <c r="BF32" s="251">
        <f t="shared" si="71"/>
        <v>6186.8797534564856</v>
      </c>
      <c r="BG32" s="64">
        <f t="shared" si="43"/>
        <v>6232.0812562840993</v>
      </c>
      <c r="BH32" s="64">
        <f t="shared" si="68"/>
        <v>5334.8513565026014</v>
      </c>
      <c r="BI32" s="64">
        <f t="shared" si="69"/>
        <v>4690.0346579158904</v>
      </c>
      <c r="BJ32" s="64">
        <f t="shared" si="44"/>
        <v>4720.4934313720805</v>
      </c>
      <c r="BK32" s="64">
        <f t="shared" si="70"/>
        <v>1496.8450955405951</v>
      </c>
      <c r="BL32" s="64">
        <f t="shared" si="45"/>
        <v>1511.5878249120187</v>
      </c>
    </row>
    <row r="33" spans="1:64" x14ac:dyDescent="0.25">
      <c r="A33" s="98" t="s">
        <v>24</v>
      </c>
      <c r="B33" s="220">
        <f>'Ingreso estructural no oil'!K32</f>
        <v>48180.565341232003</v>
      </c>
      <c r="C33" s="40">
        <f>'Ingreso estructural no oil'!L32</f>
        <v>48315.621000000006</v>
      </c>
      <c r="D33" s="12">
        <f t="shared" si="36"/>
        <v>0.99720472062714449</v>
      </c>
      <c r="E33" s="64">
        <f>'Ingreso estructural no oil'!N32</f>
        <v>42961.464</v>
      </c>
      <c r="F33" s="12">
        <f t="shared" si="46"/>
        <v>3.5039295098655998E-2</v>
      </c>
      <c r="H33" s="98" t="s">
        <v>24</v>
      </c>
      <c r="I33" s="46">
        <f>SUM('Datos Gastos GC'!B33:B36)</f>
        <v>856.26024398976983</v>
      </c>
      <c r="J33" s="12">
        <f t="shared" si="47"/>
        <v>1.1877563581610406E-3</v>
      </c>
      <c r="K33" s="64">
        <f t="shared" si="48"/>
        <v>3.3897838264634481E-2</v>
      </c>
      <c r="L33" s="64">
        <f t="shared" si="49"/>
        <v>856.17900021483399</v>
      </c>
      <c r="M33" s="27">
        <v>888.52635809662502</v>
      </c>
      <c r="N33" s="98" t="s">
        <v>24</v>
      </c>
      <c r="O33" s="46">
        <f>SUM('Datos Gastos GC'!E33:E36)</f>
        <v>2328.3887103555558</v>
      </c>
      <c r="P33" s="64">
        <f t="shared" si="50"/>
        <v>1.2780230494296996E-2</v>
      </c>
      <c r="Q33" s="64">
        <f t="shared" si="51"/>
        <v>0.36473994292160311</v>
      </c>
      <c r="R33" s="64">
        <f t="shared" si="52"/>
        <v>2326.0126906282007</v>
      </c>
      <c r="T33" s="98" t="s">
        <v>24</v>
      </c>
      <c r="U33" s="46">
        <f>SUM('Datos Gastos GC'!H33:H36)</f>
        <v>363.37298270999997</v>
      </c>
      <c r="V33" s="64">
        <f t="shared" si="53"/>
        <v>2.3061075995895575E-2</v>
      </c>
      <c r="W33" s="64">
        <f t="shared" si="54"/>
        <v>0.65814897049056587</v>
      </c>
      <c r="X33" s="64">
        <f t="shared" si="55"/>
        <v>362.70416191277855</v>
      </c>
      <c r="Z33" s="98" t="s">
        <v>24</v>
      </c>
      <c r="AA33" s="46">
        <f>SUM('Datos Gastos GC'!K33:K36)</f>
        <v>1116.0449640994209</v>
      </c>
      <c r="AB33" s="64">
        <f t="shared" si="56"/>
        <v>-7.8456119930623069E-2</v>
      </c>
      <c r="AC33" s="64">
        <f t="shared" si="57"/>
        <v>-2.239089562439069</v>
      </c>
      <c r="AD33" s="64">
        <f t="shared" si="58"/>
        <v>1123.0619044608436</v>
      </c>
      <c r="AF33" s="98" t="s">
        <v>24</v>
      </c>
      <c r="AG33" s="46">
        <f>SUM('Datos Gastos GC'!N33:N36)</f>
        <v>863.13274023333327</v>
      </c>
      <c r="AH33" s="64">
        <f t="shared" si="59"/>
        <v>4.1641457753948563E-2</v>
      </c>
      <c r="AI33" s="64">
        <f t="shared" si="60"/>
        <v>1.1884216744858489</v>
      </c>
      <c r="AJ33" s="64">
        <f t="shared" si="61"/>
        <v>860.26619431547533</v>
      </c>
      <c r="AK33" s="27">
        <v>791.96642597078096</v>
      </c>
      <c r="AL33" s="98" t="s">
        <v>24</v>
      </c>
      <c r="AM33" s="46">
        <f>SUM('Datos Gastos GC'!Q33:Q36)</f>
        <v>744.62851792383799</v>
      </c>
      <c r="AN33" s="64">
        <f t="shared" si="62"/>
        <v>9.0295399565558432E-2</v>
      </c>
      <c r="AO33" s="64">
        <f t="shared" si="63"/>
        <v>2.5769753447186754</v>
      </c>
      <c r="AP33" s="64">
        <f t="shared" si="64"/>
        <v>739.27650191637611</v>
      </c>
      <c r="AQ33" s="27">
        <v>727.10144696301199</v>
      </c>
      <c r="AR33" s="98" t="s">
        <v>24</v>
      </c>
      <c r="AS33" s="46">
        <f>SUM('Datos Gastos GC'!T33:T36)</f>
        <v>6271.8281593119173</v>
      </c>
      <c r="AT33" s="64">
        <f t="shared" si="65"/>
        <v>6.3777896008239132E-3</v>
      </c>
      <c r="AU33" s="64">
        <f t="shared" si="66"/>
        <v>0.18201820507138416</v>
      </c>
      <c r="AV33" s="64">
        <f t="shared" si="67"/>
        <v>6268.6334506416188</v>
      </c>
      <c r="AW33" s="27">
        <v>6285.4667192941097</v>
      </c>
      <c r="AY33" s="255" t="s">
        <v>24</v>
      </c>
      <c r="AZ33" s="251">
        <f t="shared" si="37"/>
        <v>856.17900021483399</v>
      </c>
      <c r="BA33" s="251">
        <f t="shared" si="38"/>
        <v>2326.0126906282007</v>
      </c>
      <c r="BB33" s="251">
        <f t="shared" si="39"/>
        <v>362.70416191277855</v>
      </c>
      <c r="BC33" s="251">
        <f t="shared" si="40"/>
        <v>1123.0619044608436</v>
      </c>
      <c r="BD33" s="251">
        <f t="shared" si="41"/>
        <v>860.26619431547533</v>
      </c>
      <c r="BE33" s="251">
        <f t="shared" si="42"/>
        <v>739.27650191637611</v>
      </c>
      <c r="BF33" s="251">
        <f t="shared" si="71"/>
        <v>6267.5004534485088</v>
      </c>
      <c r="BG33" s="64">
        <f t="shared" si="43"/>
        <v>6271.8281593119173</v>
      </c>
      <c r="BH33" s="64">
        <f t="shared" si="68"/>
        <v>5411.3214532336751</v>
      </c>
      <c r="BI33" s="64">
        <f t="shared" si="69"/>
        <v>4667.9577572166572</v>
      </c>
      <c r="BJ33" s="64">
        <f t="shared" si="44"/>
        <v>4664.0669011547461</v>
      </c>
      <c r="BK33" s="64">
        <f t="shared" si="70"/>
        <v>1599.5426962318516</v>
      </c>
      <c r="BL33" s="64">
        <f t="shared" si="45"/>
        <v>1607.7612581571711</v>
      </c>
    </row>
    <row r="34" spans="1:64" x14ac:dyDescent="0.25">
      <c r="A34" s="98" t="s">
        <v>25</v>
      </c>
      <c r="B34" s="220">
        <f>'Ingreso estructural no oil'!K33</f>
        <v>48713.797589055801</v>
      </c>
      <c r="C34" s="40">
        <f>'Ingreso estructural no oil'!L33</f>
        <v>48826.254999999997</v>
      </c>
      <c r="D34" s="12">
        <f t="shared" si="36"/>
        <v>0.99769678401621842</v>
      </c>
      <c r="E34" s="64">
        <f>'Ingreso estructural no oil'!N33</f>
        <v>44467.63</v>
      </c>
      <c r="F34" s="12">
        <f t="shared" si="46"/>
        <v>3.5058535249171241E-2</v>
      </c>
      <c r="H34" s="98" t="s">
        <v>25</v>
      </c>
      <c r="I34" s="46">
        <f>SUM('Datos Gastos GC'!B34:B37)</f>
        <v>914.98723989769826</v>
      </c>
      <c r="J34" s="12">
        <f t="shared" si="47"/>
        <v>6.8585452051689533E-2</v>
      </c>
      <c r="K34" s="64">
        <f t="shared" si="48"/>
        <v>1.9563125374244164</v>
      </c>
      <c r="L34" s="64">
        <f t="shared" si="49"/>
        <v>910.86902149788375</v>
      </c>
      <c r="M34" s="27">
        <v>899.29870469850096</v>
      </c>
      <c r="N34" s="98" t="s">
        <v>25</v>
      </c>
      <c r="O34" s="46">
        <f>SUM('Datos Gastos GC'!E34:E37)</f>
        <v>2401.7297742255555</v>
      </c>
      <c r="P34" s="64">
        <f t="shared" si="50"/>
        <v>3.1498634031256856E-2</v>
      </c>
      <c r="Q34" s="64">
        <f t="shared" si="51"/>
        <v>0.89845835849635103</v>
      </c>
      <c r="R34" s="64">
        <f t="shared" si="52"/>
        <v>2396.7591882979859</v>
      </c>
      <c r="T34" s="98" t="s">
        <v>25</v>
      </c>
      <c r="U34" s="46">
        <f>SUM('Datos Gastos GC'!H34:H37)</f>
        <v>387.26717149000001</v>
      </c>
      <c r="V34" s="64">
        <f t="shared" si="53"/>
        <v>6.5756646522808326E-2</v>
      </c>
      <c r="W34" s="64">
        <f t="shared" si="54"/>
        <v>1.8756244679207688</v>
      </c>
      <c r="X34" s="64">
        <f t="shared" si="55"/>
        <v>385.59587675951428</v>
      </c>
      <c r="Z34" s="98" t="s">
        <v>25</v>
      </c>
      <c r="AA34" s="46">
        <f>SUM('Datos Gastos GC'!K34:K37)</f>
        <v>1211.2552673028833</v>
      </c>
      <c r="AB34" s="64">
        <f t="shared" si="56"/>
        <v>8.5310454566041027E-2</v>
      </c>
      <c r="AC34" s="64">
        <f t="shared" si="57"/>
        <v>2.4333719010139681</v>
      </c>
      <c r="AD34" s="64">
        <f t="shared" si="58"/>
        <v>1204.4778910348118</v>
      </c>
      <c r="AF34" s="98" t="s">
        <v>25</v>
      </c>
      <c r="AG34" s="46">
        <f>SUM('Datos Gastos GC'!N34:N37)</f>
        <v>895.32665696666663</v>
      </c>
      <c r="AH34" s="64">
        <f t="shared" si="59"/>
        <v>3.7298917342227345E-2</v>
      </c>
      <c r="AI34" s="64">
        <f t="shared" si="60"/>
        <v>1.0639040415446068</v>
      </c>
      <c r="AJ34" s="64">
        <f t="shared" si="61"/>
        <v>893.13290938703312</v>
      </c>
      <c r="AK34" s="27">
        <v>871.804234447824</v>
      </c>
      <c r="AL34" s="98" t="s">
        <v>25</v>
      </c>
      <c r="AM34" s="46">
        <f>SUM('Datos Gastos GC'!Q34:Q37)</f>
        <v>743.53691751473445</v>
      </c>
      <c r="AN34" s="64">
        <f t="shared" si="62"/>
        <v>-1.4659664286658103E-3</v>
      </c>
      <c r="AO34" s="64">
        <f t="shared" si="63"/>
        <v>-4.1814822503186716E-2</v>
      </c>
      <c r="AP34" s="64">
        <f t="shared" si="64"/>
        <v>743.60861253883991</v>
      </c>
      <c r="AQ34" s="27">
        <v>752.78182898684304</v>
      </c>
      <c r="AR34" s="98" t="s">
        <v>25</v>
      </c>
      <c r="AS34" s="46">
        <f>SUM('Datos Gastos GC'!T34:T37)</f>
        <v>6554.1030273975375</v>
      </c>
      <c r="AT34" s="64">
        <f t="shared" si="65"/>
        <v>4.5006792424075126E-2</v>
      </c>
      <c r="AU34" s="64">
        <f t="shared" si="66"/>
        <v>1.2837613466791673</v>
      </c>
      <c r="AV34" s="64">
        <f t="shared" si="67"/>
        <v>6534.7303251257035</v>
      </c>
      <c r="AW34" s="27">
        <v>6555.8960200358897</v>
      </c>
      <c r="AY34" s="255" t="s">
        <v>25</v>
      </c>
      <c r="AZ34" s="251">
        <f t="shared" si="37"/>
        <v>910.86902149788375</v>
      </c>
      <c r="BA34" s="251">
        <f t="shared" si="38"/>
        <v>2396.7591882979859</v>
      </c>
      <c r="BB34" s="251">
        <f t="shared" si="39"/>
        <v>385.59587675951428</v>
      </c>
      <c r="BC34" s="251">
        <f t="shared" si="40"/>
        <v>1204.4778910348118</v>
      </c>
      <c r="BD34" s="251">
        <f t="shared" si="41"/>
        <v>893.13290938703312</v>
      </c>
      <c r="BE34" s="251">
        <f t="shared" si="42"/>
        <v>743.60861253883991</v>
      </c>
      <c r="BF34" s="251">
        <f t="shared" si="71"/>
        <v>6534.4434995160691</v>
      </c>
      <c r="BG34" s="64">
        <f t="shared" si="43"/>
        <v>6554.1030273975375</v>
      </c>
      <c r="BH34" s="64">
        <f t="shared" si="68"/>
        <v>5623.5744780181849</v>
      </c>
      <c r="BI34" s="64">
        <f t="shared" si="69"/>
        <v>4897.7019775901954</v>
      </c>
      <c r="BJ34" s="64">
        <f t="shared" si="44"/>
        <v>4915.2394529161365</v>
      </c>
      <c r="BK34" s="64">
        <f t="shared" si="70"/>
        <v>1636.741521925873</v>
      </c>
      <c r="BL34" s="64">
        <f t="shared" si="45"/>
        <v>1638.863574481401</v>
      </c>
    </row>
    <row r="35" spans="1:64" x14ac:dyDescent="0.25">
      <c r="A35" s="98" t="s">
        <v>26</v>
      </c>
      <c r="B35" s="220">
        <f>'Ingreso estructural no oil'!K34</f>
        <v>49221.167507964899</v>
      </c>
      <c r="C35" s="40">
        <f>'Ingreso estructural no oil'!L34</f>
        <v>49467.333999999995</v>
      </c>
      <c r="D35" s="12">
        <f t="shared" si="36"/>
        <v>0.99502365556965133</v>
      </c>
      <c r="E35" s="64">
        <f>'Ingreso estructural no oil'!N34</f>
        <v>45763.39</v>
      </c>
      <c r="F35" s="12">
        <f t="shared" si="46"/>
        <v>2.913939870418103E-2</v>
      </c>
      <c r="H35" s="98" t="s">
        <v>26</v>
      </c>
      <c r="I35" s="46">
        <f>SUM('Datos Gastos GC'!B35:B38)</f>
        <v>946.85716660378341</v>
      </c>
      <c r="J35" s="12">
        <f t="shared" si="47"/>
        <v>3.4831006724911795E-2</v>
      </c>
      <c r="K35" s="64">
        <f t="shared" si="48"/>
        <v>1.1953234546296287</v>
      </c>
      <c r="L35" s="64">
        <f t="shared" si="49"/>
        <v>941.22767801044824</v>
      </c>
      <c r="M35" s="27">
        <v>907.14652698545297</v>
      </c>
      <c r="N35" s="98" t="s">
        <v>26</v>
      </c>
      <c r="O35" s="46">
        <f>SUM('Datos Gastos GC'!E35:E38)</f>
        <v>2471.6415532455558</v>
      </c>
      <c r="P35" s="64">
        <f t="shared" si="50"/>
        <v>2.9108927977771204E-2</v>
      </c>
      <c r="Q35" s="64">
        <f t="shared" si="51"/>
        <v>0.99895431176466065</v>
      </c>
      <c r="R35" s="64">
        <f t="shared" si="52"/>
        <v>2459.3546432394623</v>
      </c>
      <c r="T35" s="98" t="s">
        <v>26</v>
      </c>
      <c r="U35" s="46">
        <f>SUM('Datos Gastos GC'!H35:H38)</f>
        <v>401.34814034999999</v>
      </c>
      <c r="V35" s="64">
        <f t="shared" si="53"/>
        <v>3.6359830878057275E-2</v>
      </c>
      <c r="W35" s="64">
        <f t="shared" si="54"/>
        <v>1.2477893331697414</v>
      </c>
      <c r="X35" s="64">
        <f t="shared" si="55"/>
        <v>398.85753580172337</v>
      </c>
      <c r="Z35" s="98" t="s">
        <v>26</v>
      </c>
      <c r="AA35" s="46">
        <f>SUM('Datos Gastos GC'!K35:K38)</f>
        <v>1237.7554027887168</v>
      </c>
      <c r="AB35" s="64">
        <f t="shared" si="56"/>
        <v>2.18782416895833E-2</v>
      </c>
      <c r="AC35" s="64">
        <f t="shared" si="57"/>
        <v>0.75081307997080005</v>
      </c>
      <c r="AD35" s="64">
        <f t="shared" si="58"/>
        <v>1233.1278983994646</v>
      </c>
      <c r="AF35" s="98" t="s">
        <v>26</v>
      </c>
      <c r="AG35" s="46">
        <f>SUM('Datos Gastos GC'!N35:N38)</f>
        <v>834.19828976333326</v>
      </c>
      <c r="AH35" s="64">
        <f t="shared" si="59"/>
        <v>-6.8274932649089237E-2</v>
      </c>
      <c r="AI35" s="64">
        <f t="shared" si="60"/>
        <v>-2.3430453504619813</v>
      </c>
      <c r="AJ35" s="64">
        <f t="shared" si="61"/>
        <v>844.00636875797125</v>
      </c>
      <c r="AK35" s="27">
        <v>977.24442783742904</v>
      </c>
      <c r="AL35" s="98" t="s">
        <v>26</v>
      </c>
      <c r="AM35" s="46">
        <f>SUM('Datos Gastos GC'!Q35:Q38)</f>
        <v>780.05047488645232</v>
      </c>
      <c r="AN35" s="64">
        <f t="shared" si="62"/>
        <v>4.9107927947631858E-2</v>
      </c>
      <c r="AO35" s="64">
        <f t="shared" si="63"/>
        <v>1.6852759539127233</v>
      </c>
      <c r="AP35" s="64">
        <f t="shared" si="64"/>
        <v>773.5197312971859</v>
      </c>
      <c r="AQ35" s="27">
        <v>785.02754947774099</v>
      </c>
      <c r="AR35" s="98" t="s">
        <v>26</v>
      </c>
      <c r="AS35" s="46">
        <f>SUM('Datos Gastos GC'!T35:T38)</f>
        <v>6671.851027637842</v>
      </c>
      <c r="AT35" s="64">
        <f t="shared" si="65"/>
        <v>1.7965540020975057E-2</v>
      </c>
      <c r="AU35" s="64">
        <f t="shared" si="66"/>
        <v>0.61653777428143341</v>
      </c>
      <c r="AV35" s="64">
        <f t="shared" si="67"/>
        <v>6651.3615169539999</v>
      </c>
      <c r="AW35" s="27">
        <v>6878.3930589183601</v>
      </c>
      <c r="AY35" s="255" t="s">
        <v>26</v>
      </c>
      <c r="AZ35" s="251">
        <f t="shared" si="37"/>
        <v>941.22767801044824</v>
      </c>
      <c r="BA35" s="251">
        <f t="shared" si="38"/>
        <v>2459.3546432394623</v>
      </c>
      <c r="BB35" s="251">
        <f t="shared" si="39"/>
        <v>398.85753580172337</v>
      </c>
      <c r="BC35" s="251">
        <f t="shared" si="40"/>
        <v>1233.1278983994646</v>
      </c>
      <c r="BD35" s="251">
        <f t="shared" si="41"/>
        <v>844.00636875797125</v>
      </c>
      <c r="BE35" s="251">
        <f t="shared" si="42"/>
        <v>773.5197312971859</v>
      </c>
      <c r="BF35" s="251">
        <f t="shared" si="71"/>
        <v>6650.0938555062557</v>
      </c>
      <c r="BG35" s="64">
        <f t="shared" si="43"/>
        <v>6671.8510276378411</v>
      </c>
      <c r="BH35" s="64">
        <f t="shared" si="68"/>
        <v>5708.8661774958073</v>
      </c>
      <c r="BI35" s="64">
        <f t="shared" si="69"/>
        <v>5032.5677554510985</v>
      </c>
      <c r="BJ35" s="64">
        <f t="shared" si="44"/>
        <v>5057.6022629880554</v>
      </c>
      <c r="BK35" s="64">
        <f t="shared" si="70"/>
        <v>1617.5261000551573</v>
      </c>
      <c r="BL35" s="64">
        <f t="shared" si="45"/>
        <v>1614.2487646497857</v>
      </c>
    </row>
    <row r="36" spans="1:64" x14ac:dyDescent="0.25">
      <c r="A36" s="98" t="s">
        <v>27</v>
      </c>
      <c r="B36" s="220">
        <f>'Ingreso estructural no oil'!K35</f>
        <v>49705.680369271497</v>
      </c>
      <c r="C36" s="40">
        <f>'Ingreso estructural no oil'!L35</f>
        <v>49914.614999999998</v>
      </c>
      <c r="D36" s="12">
        <f t="shared" si="36"/>
        <v>0.99581415922513872</v>
      </c>
      <c r="E36" s="64">
        <f>'Ingreso estructural no oil'!N35</f>
        <v>46802.044000000002</v>
      </c>
      <c r="F36" s="12">
        <f t="shared" si="46"/>
        <v>2.2696177009614127E-2</v>
      </c>
      <c r="H36" s="98" t="s">
        <v>27</v>
      </c>
      <c r="I36" s="46">
        <f>SUM('Datos Gastos GC'!B36:B39)</f>
        <v>941.764423098924</v>
      </c>
      <c r="J36" s="12">
        <f t="shared" si="47"/>
        <v>-5.3785762884661636E-3</v>
      </c>
      <c r="K36" s="64">
        <f t="shared" si="48"/>
        <v>-0.23698159765795765</v>
      </c>
      <c r="L36" s="64">
        <f t="shared" si="49"/>
        <v>942.70104867631755</v>
      </c>
      <c r="M36" s="27">
        <v>910.64603251737196</v>
      </c>
      <c r="N36" s="98" t="s">
        <v>27</v>
      </c>
      <c r="O36" s="46">
        <f>SUM('Datos Gastos GC'!E36:E39)</f>
        <v>2582.7099344000003</v>
      </c>
      <c r="P36" s="64">
        <f t="shared" si="50"/>
        <v>4.4937090901631116E-2</v>
      </c>
      <c r="Q36" s="64">
        <f t="shared" si="51"/>
        <v>1.9799409778393828</v>
      </c>
      <c r="R36" s="64">
        <f t="shared" si="52"/>
        <v>2561.3490647198782</v>
      </c>
      <c r="T36" s="98" t="s">
        <v>27</v>
      </c>
      <c r="U36" s="46">
        <f>SUM('Datos Gastos GC'!H36:H39)</f>
        <v>458.46046382989999</v>
      </c>
      <c r="V36" s="64">
        <f t="shared" si="53"/>
        <v>0.14230120371330135</v>
      </c>
      <c r="W36" s="64">
        <f t="shared" si="54"/>
        <v>6.2698314193188747</v>
      </c>
      <c r="X36" s="64">
        <f t="shared" si="55"/>
        <v>446.56030873426363</v>
      </c>
      <c r="Z36" s="98" t="s">
        <v>27</v>
      </c>
      <c r="AA36" s="46">
        <f>SUM('Datos Gastos GC'!K36:K39)</f>
        <v>1360.309379419828</v>
      </c>
      <c r="AB36" s="64">
        <f t="shared" si="56"/>
        <v>9.9013081546638126E-2</v>
      </c>
      <c r="AC36" s="64">
        <f t="shared" si="57"/>
        <v>4.362544471903619</v>
      </c>
      <c r="AD36" s="64">
        <f t="shared" si="58"/>
        <v>1335.6431238716018</v>
      </c>
      <c r="AF36" s="98" t="s">
        <v>27</v>
      </c>
      <c r="AG36" s="46">
        <f>SUM('Datos Gastos GC'!N36:N39)</f>
        <v>829.36031063666678</v>
      </c>
      <c r="AH36" s="64">
        <f t="shared" si="59"/>
        <v>-5.7995553168048719E-3</v>
      </c>
      <c r="AI36" s="64">
        <f t="shared" si="60"/>
        <v>-0.25553005311635407</v>
      </c>
      <c r="AJ36" s="64">
        <f t="shared" si="61"/>
        <v>830.24973954612585</v>
      </c>
      <c r="AK36" s="27">
        <v>1113.23451784945</v>
      </c>
      <c r="AL36" s="98" t="s">
        <v>27</v>
      </c>
      <c r="AM36" s="46">
        <f>SUM('Datos Gastos GC'!Q36:Q39)</f>
        <v>839.66750000000002</v>
      </c>
      <c r="AN36" s="64">
        <f t="shared" si="62"/>
        <v>7.6427137772367537E-2</v>
      </c>
      <c r="AO36" s="64">
        <f t="shared" si="63"/>
        <v>3.3674013795359858</v>
      </c>
      <c r="AP36" s="64">
        <f t="shared" si="64"/>
        <v>827.89057594522899</v>
      </c>
      <c r="AQ36" s="27">
        <v>824.68723310161295</v>
      </c>
      <c r="AR36" s="98" t="s">
        <v>27</v>
      </c>
      <c r="AS36" s="46">
        <f>SUM('Datos Gastos GC'!T36:T39)</f>
        <v>7012.2720113853193</v>
      </c>
      <c r="AT36" s="64">
        <f t="shared" si="65"/>
        <v>5.1023468949965789E-2</v>
      </c>
      <c r="AU36" s="64">
        <f t="shared" si="66"/>
        <v>2.2481085219044683</v>
      </c>
      <c r="AV36" s="64">
        <f t="shared" si="67"/>
        <v>6946.4572699015498</v>
      </c>
      <c r="AW36" s="27">
        <v>7261.2121793893302</v>
      </c>
      <c r="AY36" s="255" t="s">
        <v>27</v>
      </c>
      <c r="AZ36" s="251">
        <f t="shared" si="37"/>
        <v>942.70104867631755</v>
      </c>
      <c r="BA36" s="251">
        <f t="shared" si="38"/>
        <v>2561.3490647198782</v>
      </c>
      <c r="BB36" s="251">
        <f t="shared" si="39"/>
        <v>446.56030873426363</v>
      </c>
      <c r="BC36" s="251">
        <f t="shared" si="40"/>
        <v>1335.6431238716018</v>
      </c>
      <c r="BD36" s="251">
        <f t="shared" si="41"/>
        <v>830.24973954612585</v>
      </c>
      <c r="BE36" s="251">
        <f t="shared" si="42"/>
        <v>827.89057594522899</v>
      </c>
      <c r="BF36" s="251">
        <f t="shared" si="71"/>
        <v>6944.3938614934159</v>
      </c>
      <c r="BG36" s="64">
        <f t="shared" si="43"/>
        <v>7012.2720113853193</v>
      </c>
      <c r="BH36" s="64">
        <f t="shared" si="68"/>
        <v>6001.6928128170985</v>
      </c>
      <c r="BI36" s="64">
        <f t="shared" si="69"/>
        <v>5286.2535460020608</v>
      </c>
      <c r="BJ36" s="64">
        <f t="shared" si="44"/>
        <v>5343.2442007486525</v>
      </c>
      <c r="BK36" s="64">
        <f t="shared" si="70"/>
        <v>1658.1403154913548</v>
      </c>
      <c r="BL36" s="64">
        <f t="shared" si="45"/>
        <v>1669.0278106366668</v>
      </c>
    </row>
    <row r="37" spans="1:64" x14ac:dyDescent="0.25">
      <c r="A37" s="98" t="s">
        <v>28</v>
      </c>
      <c r="B37" s="220">
        <f>'Ingreso estructural no oil'!K36</f>
        <v>50172.802769208</v>
      </c>
      <c r="C37" s="40">
        <f>'Ingreso estructural no oil'!L36</f>
        <v>50185.183999999994</v>
      </c>
      <c r="D37" s="12">
        <f t="shared" si="36"/>
        <v>0.99975328912230366</v>
      </c>
      <c r="E37" s="64">
        <f>'Ingreso estructural no oil'!N36</f>
        <v>47461.555999999997</v>
      </c>
      <c r="F37" s="12">
        <f t="shared" si="46"/>
        <v>1.4091521301932808E-2</v>
      </c>
      <c r="H37" s="98" t="s">
        <v>28</v>
      </c>
      <c r="I37" s="46">
        <f>SUM('Datos Gastos GC'!B37:B40)</f>
        <v>952.43942309892407</v>
      </c>
      <c r="J37" s="12">
        <f t="shared" si="47"/>
        <v>1.1335106464176459E-2</v>
      </c>
      <c r="K37" s="40">
        <f t="shared" si="48"/>
        <v>0.80439196175516714</v>
      </c>
      <c r="L37" s="64">
        <f t="shared" si="49"/>
        <v>952.25040479415657</v>
      </c>
      <c r="M37" s="27">
        <v>908.77196358429399</v>
      </c>
      <c r="N37" s="98" t="s">
        <v>28</v>
      </c>
      <c r="O37" s="46">
        <f>SUM('Datos Gastos GC'!E37:E40)</f>
        <v>2655.7478588500003</v>
      </c>
      <c r="P37" s="64">
        <f t="shared" si="50"/>
        <v>2.8279569252893211E-2</v>
      </c>
      <c r="Q37" s="64">
        <f t="shared" si="51"/>
        <v>2.0068499807053732</v>
      </c>
      <c r="R37" s="64">
        <f t="shared" si="52"/>
        <v>2654.433130269369</v>
      </c>
      <c r="T37" s="98" t="s">
        <v>28</v>
      </c>
      <c r="U37" s="46">
        <f>SUM('Datos Gastos GC'!H37:H40)</f>
        <v>445.73022623990005</v>
      </c>
      <c r="V37" s="64">
        <f t="shared" si="53"/>
        <v>-2.7767361843273775E-2</v>
      </c>
      <c r="W37" s="64">
        <f t="shared" si="54"/>
        <v>-1.9705013566892295</v>
      </c>
      <c r="X37" s="64">
        <f t="shared" si="55"/>
        <v>445.94699479493028</v>
      </c>
      <c r="Z37" s="98" t="s">
        <v>28</v>
      </c>
      <c r="AA37" s="46">
        <f>SUM('Datos Gastos GC'!K37:K40)</f>
        <v>1378.0042041744696</v>
      </c>
      <c r="AB37" s="64">
        <f t="shared" si="56"/>
        <v>1.3007941445047244E-2</v>
      </c>
      <c r="AC37" s="64">
        <f t="shared" si="57"/>
        <v>0.92310412526311558</v>
      </c>
      <c r="AD37" s="64">
        <f t="shared" si="58"/>
        <v>1377.6903747556482</v>
      </c>
      <c r="AF37" s="98" t="s">
        <v>28</v>
      </c>
      <c r="AG37" s="46">
        <f>SUM('Datos Gastos GC'!N37:N40)</f>
        <v>955.8529592805462</v>
      </c>
      <c r="AH37" s="64">
        <f t="shared" si="59"/>
        <v>0.15251832891156325</v>
      </c>
      <c r="AI37" s="64">
        <f t="shared" si="60"/>
        <v>10.823411159350387</v>
      </c>
      <c r="AJ37" s="64">
        <f t="shared" si="61"/>
        <v>953.30368043812769</v>
      </c>
      <c r="AK37" s="27">
        <v>1283.2895719153801</v>
      </c>
      <c r="AL37" s="98" t="s">
        <v>28</v>
      </c>
      <c r="AM37" s="46">
        <f>SUM('Datos Gastos GC'!Q37:Q40)</f>
        <v>849.617656635</v>
      </c>
      <c r="AN37" s="64">
        <f t="shared" si="62"/>
        <v>1.1850115236090364E-2</v>
      </c>
      <c r="AO37" s="64">
        <f t="shared" si="63"/>
        <v>0.84093938349048158</v>
      </c>
      <c r="AP37" s="64">
        <f t="shared" si="64"/>
        <v>849.44138394106608</v>
      </c>
      <c r="AQ37" s="27">
        <v>872.55922902959196</v>
      </c>
      <c r="AR37" s="98" t="s">
        <v>28</v>
      </c>
      <c r="AS37" s="46">
        <f>SUM('Datos Gastos GC'!T37:T40)</f>
        <v>7237.3923282788401</v>
      </c>
      <c r="AT37" s="64">
        <f t="shared" si="65"/>
        <v>3.2103762735959052E-2</v>
      </c>
      <c r="AU37" s="64">
        <f t="shared" si="66"/>
        <v>2.2782325661002738</v>
      </c>
      <c r="AV37" s="64">
        <f t="shared" si="67"/>
        <v>7233.3250865226091</v>
      </c>
      <c r="AW37" s="27">
        <v>7710.5437943074703</v>
      </c>
      <c r="AY37" s="255" t="s">
        <v>28</v>
      </c>
      <c r="AZ37" s="251">
        <f t="shared" si="37"/>
        <v>952.25040479415657</v>
      </c>
      <c r="BA37" s="251">
        <f t="shared" si="38"/>
        <v>2654.433130269369</v>
      </c>
      <c r="BB37" s="251">
        <f t="shared" si="39"/>
        <v>445.94699479493028</v>
      </c>
      <c r="BC37" s="251">
        <f t="shared" si="40"/>
        <v>1377.6903747556482</v>
      </c>
      <c r="BD37" s="251">
        <f t="shared" si="41"/>
        <v>953.30368043812769</v>
      </c>
      <c r="BE37" s="251">
        <f t="shared" si="42"/>
        <v>849.44138394106608</v>
      </c>
      <c r="BF37" s="251">
        <f t="shared" si="71"/>
        <v>7233.0659689932982</v>
      </c>
      <c r="BG37" s="64">
        <f t="shared" si="43"/>
        <v>7237.3923282788401</v>
      </c>
      <c r="BH37" s="64">
        <f t="shared" si="68"/>
        <v>6280.8155641991416</v>
      </c>
      <c r="BI37" s="64">
        <f t="shared" si="69"/>
        <v>5430.3209046141037</v>
      </c>
      <c r="BJ37" s="64">
        <f t="shared" si="44"/>
        <v>5431.9217123632934</v>
      </c>
      <c r="BK37" s="64">
        <f t="shared" si="70"/>
        <v>1802.7450643791938</v>
      </c>
      <c r="BL37" s="64">
        <f t="shared" si="45"/>
        <v>1805.4706159155462</v>
      </c>
    </row>
    <row r="38" spans="1:64" x14ac:dyDescent="0.25">
      <c r="A38" s="98" t="s">
        <v>29</v>
      </c>
      <c r="B38" s="220">
        <f>'Ingreso estructural no oil'!K37</f>
        <v>50630.090500314</v>
      </c>
      <c r="C38" s="40">
        <f>'Ingreso estructural no oil'!L37</f>
        <v>50379.531999999992</v>
      </c>
      <c r="D38" s="12">
        <f t="shared" si="36"/>
        <v>1.0049734185762982</v>
      </c>
      <c r="E38" s="64">
        <f>'Ingreso estructural no oil'!N37</f>
        <v>48217.407000000007</v>
      </c>
      <c r="F38" s="12">
        <f t="shared" si="46"/>
        <v>1.5925541927028553E-2</v>
      </c>
      <c r="H38" s="98" t="s">
        <v>29</v>
      </c>
      <c r="I38" s="46">
        <f>SUM('Datos Gastos GC'!B38:B41)</f>
        <v>916.45341900685253</v>
      </c>
      <c r="J38" s="12">
        <f t="shared" si="47"/>
        <v>-3.7782984638524253E-2</v>
      </c>
      <c r="K38" s="40">
        <f t="shared" si="48"/>
        <v>-2.3724771697972571</v>
      </c>
      <c r="L38" s="64">
        <f t="shared" si="49"/>
        <v>905.72992325497057</v>
      </c>
      <c r="M38" s="27">
        <v>900.81260215108205</v>
      </c>
      <c r="N38" s="98" t="s">
        <v>29</v>
      </c>
      <c r="O38" s="46">
        <f>SUM('Datos Gastos GC'!E38:E41)</f>
        <v>2719.52800798</v>
      </c>
      <c r="P38" s="64">
        <f t="shared" si="50"/>
        <v>2.4015890257600647E-2</v>
      </c>
      <c r="Q38" s="64">
        <f t="shared" si="51"/>
        <v>1.5080108650394681</v>
      </c>
      <c r="R38" s="64">
        <f t="shared" si="52"/>
        <v>2739.9501296755229</v>
      </c>
      <c r="T38" s="98" t="s">
        <v>29</v>
      </c>
      <c r="U38" s="46">
        <f>SUM('Datos Gastos GC'!H38:H41)</f>
        <v>436.95208585989997</v>
      </c>
      <c r="V38" s="64">
        <f t="shared" si="53"/>
        <v>-1.9693841393819911E-2</v>
      </c>
      <c r="W38" s="64">
        <f t="shared" si="54"/>
        <v>-1.2366198578395544</v>
      </c>
      <c r="X38" s="64">
        <f t="shared" si="55"/>
        <v>434.27959764679605</v>
      </c>
      <c r="Z38" s="98" t="s">
        <v>29</v>
      </c>
      <c r="AA38" s="46">
        <f>SUM('Datos Gastos GC'!K38:K41)</f>
        <v>1336.3134222534932</v>
      </c>
      <c r="AB38" s="64">
        <f t="shared" si="56"/>
        <v>-3.0254466419391224E-2</v>
      </c>
      <c r="AC38" s="64">
        <f t="shared" si="57"/>
        <v>-1.8997448600504998</v>
      </c>
      <c r="AD38" s="64">
        <f t="shared" si="58"/>
        <v>1323.7780878460696</v>
      </c>
      <c r="AF38" s="98" t="s">
        <v>29</v>
      </c>
      <c r="AG38" s="46">
        <f>SUM('Datos Gastos GC'!N38:N41)</f>
        <v>1184.0853753210463</v>
      </c>
      <c r="AH38" s="64">
        <f t="shared" si="59"/>
        <v>0.2387735622143039</v>
      </c>
      <c r="AI38" s="64">
        <f t="shared" si="60"/>
        <v>14.99312006513647</v>
      </c>
      <c r="AJ38" s="64">
        <f t="shared" si="61"/>
        <v>1275.5186614145696</v>
      </c>
      <c r="AK38" s="27">
        <v>1488.0823122882</v>
      </c>
      <c r="AL38" s="98" t="s">
        <v>29</v>
      </c>
      <c r="AM38" s="46">
        <f>SUM('Datos Gastos GC'!Q38:Q41)</f>
        <v>859.506214</v>
      </c>
      <c r="AN38" s="64">
        <f t="shared" si="62"/>
        <v>1.1638832229740492E-2</v>
      </c>
      <c r="AO38" s="64">
        <f t="shared" si="63"/>
        <v>0.7308280172235313</v>
      </c>
      <c r="AP38" s="64">
        <f t="shared" si="64"/>
        <v>862.62818624786109</v>
      </c>
      <c r="AQ38" s="27">
        <v>929.595014101792</v>
      </c>
      <c r="AR38" s="98" t="s">
        <v>29</v>
      </c>
      <c r="AS38" s="46">
        <f>SUM('Datos Gastos GC'!T38:T41)</f>
        <v>7452.8385244212923</v>
      </c>
      <c r="AT38" s="64">
        <f t="shared" si="65"/>
        <v>2.9768483781186461E-2</v>
      </c>
      <c r="AU38" s="64">
        <f t="shared" si="66"/>
        <v>1.8692289353534595</v>
      </c>
      <c r="AV38" s="64">
        <f t="shared" si="67"/>
        <v>7522.2732525447027</v>
      </c>
      <c r="AW38" s="27">
        <v>8230.0861947375397</v>
      </c>
      <c r="AY38" s="255" t="s">
        <v>29</v>
      </c>
      <c r="AZ38" s="251">
        <f t="shared" si="37"/>
        <v>905.72992325497057</v>
      </c>
      <c r="BA38" s="251">
        <f t="shared" si="38"/>
        <v>2739.9501296755229</v>
      </c>
      <c r="BB38" s="251">
        <f t="shared" si="39"/>
        <v>434.27959764679605</v>
      </c>
      <c r="BC38" s="251">
        <f t="shared" si="40"/>
        <v>1323.7780878460696</v>
      </c>
      <c r="BD38" s="251">
        <f t="shared" si="41"/>
        <v>1275.5186614145696</v>
      </c>
      <c r="BE38" s="251">
        <f t="shared" si="42"/>
        <v>862.62818624786109</v>
      </c>
      <c r="BF38" s="251">
        <f t="shared" si="71"/>
        <v>7541.88458608579</v>
      </c>
      <c r="BG38" s="64">
        <f t="shared" si="43"/>
        <v>7452.8385244212923</v>
      </c>
      <c r="BH38" s="64">
        <f t="shared" si="68"/>
        <v>6636.1546628308197</v>
      </c>
      <c r="BI38" s="64">
        <f t="shared" si="69"/>
        <v>5403.7377384233596</v>
      </c>
      <c r="BJ38" s="64">
        <f t="shared" si="44"/>
        <v>5409.2469351002455</v>
      </c>
      <c r="BK38" s="64">
        <f t="shared" si="70"/>
        <v>2138.1468476624304</v>
      </c>
      <c r="BL38" s="64">
        <f t="shared" si="45"/>
        <v>2043.5915893210463</v>
      </c>
    </row>
    <row r="39" spans="1:64" x14ac:dyDescent="0.25">
      <c r="A39" s="98" t="s">
        <v>30</v>
      </c>
      <c r="B39" s="220">
        <f>'Ingreso estructural no oil'!K38</f>
        <v>51085.223327437299</v>
      </c>
      <c r="C39" s="40">
        <f>'Ingreso estructural no oil'!L38</f>
        <v>50608.031999999999</v>
      </c>
      <c r="D39" s="12">
        <f t="shared" si="36"/>
        <v>1.0094291619053137</v>
      </c>
      <c r="E39" s="64">
        <f>'Ingreso estructural no oil'!N38</f>
        <v>49198.710999999996</v>
      </c>
      <c r="F39" s="12">
        <f t="shared" si="46"/>
        <v>2.0351654330976077E-2</v>
      </c>
      <c r="H39" s="98" t="s">
        <v>30</v>
      </c>
      <c r="I39" s="46">
        <f>SUM('Datos Gastos GC'!B39:B42)</f>
        <v>883.03425649514065</v>
      </c>
      <c r="J39" s="12">
        <f t="shared" si="47"/>
        <v>-3.6465751361294263E-2</v>
      </c>
      <c r="K39" s="40">
        <f t="shared" si="48"/>
        <v>-1.7917831527725907</v>
      </c>
      <c r="L39" s="64">
        <f t="shared" si="49"/>
        <v>868.30943033806432</v>
      </c>
      <c r="M39" s="27">
        <v>886.48851054675697</v>
      </c>
      <c r="N39" s="98" t="s">
        <v>30</v>
      </c>
      <c r="O39" s="46">
        <f>SUM('Datos Gastos GC'!E39:E42)</f>
        <v>2849.6600510879998</v>
      </c>
      <c r="P39" s="64">
        <f t="shared" si="50"/>
        <v>4.7850966317003918E-2</v>
      </c>
      <c r="Q39" s="64">
        <f t="shared" si="51"/>
        <v>2.3512076973601466</v>
      </c>
      <c r="R39" s="64">
        <f t="shared" si="52"/>
        <v>2913.2396841330205</v>
      </c>
      <c r="T39" s="98" t="s">
        <v>30</v>
      </c>
      <c r="U39" s="46">
        <f>SUM('Datos Gastos GC'!H39:H42)</f>
        <v>506.3704245399</v>
      </c>
      <c r="V39" s="64">
        <f t="shared" si="53"/>
        <v>0.1588694525702703</v>
      </c>
      <c r="W39" s="64">
        <f t="shared" si="54"/>
        <v>7.8062181081989133</v>
      </c>
      <c r="X39" s="64">
        <f t="shared" si="55"/>
        <v>544.86044867219096</v>
      </c>
      <c r="Z39" s="98" t="s">
        <v>30</v>
      </c>
      <c r="AA39" s="46">
        <f>SUM('Datos Gastos GC'!K39:K42)</f>
        <v>1511.9124255384932</v>
      </c>
      <c r="AB39" s="64">
        <f t="shared" si="56"/>
        <v>0.13140555229092765</v>
      </c>
      <c r="AC39" s="64">
        <f t="shared" si="57"/>
        <v>6.4567504023947011</v>
      </c>
      <c r="AD39" s="64">
        <f t="shared" si="58"/>
        <v>1606.3617851750466</v>
      </c>
      <c r="AF39" s="98" t="s">
        <v>30</v>
      </c>
      <c r="AG39" s="46">
        <f>SUM('Datos Gastos GC'!N39:N42)</f>
        <v>1510.2252716735461</v>
      </c>
      <c r="AH39" s="64">
        <f t="shared" si="59"/>
        <v>0.27543613252048837</v>
      </c>
      <c r="AI39" s="64">
        <f t="shared" si="60"/>
        <v>13.533844867896708</v>
      </c>
      <c r="AJ39" s="64">
        <f t="shared" si="61"/>
        <v>1714.7610735345029</v>
      </c>
      <c r="AK39" s="27">
        <v>1725.01256550175</v>
      </c>
      <c r="AL39" s="98" t="s">
        <v>30</v>
      </c>
      <c r="AM39" s="46">
        <f>SUM('Datos Gastos GC'!Q39:Q42)</f>
        <v>890.63476401500009</v>
      </c>
      <c r="AN39" s="64">
        <f t="shared" si="62"/>
        <v>3.6216782971391082E-2</v>
      </c>
      <c r="AO39" s="64">
        <f t="shared" si="63"/>
        <v>1.7795498283531481</v>
      </c>
      <c r="AP39" s="64">
        <f t="shared" si="64"/>
        <v>905.63420263918738</v>
      </c>
      <c r="AQ39" s="27">
        <v>996.52047286803395</v>
      </c>
      <c r="AR39" s="98" t="s">
        <v>30</v>
      </c>
      <c r="AS39" s="46">
        <f>SUM('Datos Gastos GC'!T39:T42)</f>
        <v>8151.8371933500803</v>
      </c>
      <c r="AT39" s="64">
        <f t="shared" si="65"/>
        <v>9.3789589917764316E-2</v>
      </c>
      <c r="AU39" s="64">
        <f t="shared" si="66"/>
        <v>4.608450418451369</v>
      </c>
      <c r="AV39" s="64">
        <f t="shared" si="67"/>
        <v>8512.1415478448725</v>
      </c>
      <c r="AW39" s="27">
        <v>8818.8022338012197</v>
      </c>
      <c r="AY39" s="255" t="s">
        <v>30</v>
      </c>
      <c r="AZ39" s="251">
        <f t="shared" si="37"/>
        <v>868.30943033806432</v>
      </c>
      <c r="BA39" s="251">
        <f t="shared" si="38"/>
        <v>2913.2396841330205</v>
      </c>
      <c r="BB39" s="251">
        <f t="shared" si="39"/>
        <v>544.86044867219096</v>
      </c>
      <c r="BC39" s="251">
        <f t="shared" si="40"/>
        <v>1606.3617851750466</v>
      </c>
      <c r="BD39" s="251">
        <f t="shared" si="41"/>
        <v>1714.7610735345029</v>
      </c>
      <c r="BE39" s="251">
        <f t="shared" si="42"/>
        <v>905.63420263918738</v>
      </c>
      <c r="BF39" s="251">
        <f t="shared" si="71"/>
        <v>8553.1666244920125</v>
      </c>
      <c r="BG39" s="64">
        <f t="shared" si="43"/>
        <v>8151.8371933500803</v>
      </c>
      <c r="BH39" s="64">
        <f t="shared" si="68"/>
        <v>7684.8571941539485</v>
      </c>
      <c r="BI39" s="64">
        <f t="shared" si="69"/>
        <v>5932.7713483183225</v>
      </c>
      <c r="BJ39" s="64">
        <f t="shared" si="44"/>
        <v>5750.977157661534</v>
      </c>
      <c r="BK39" s="64">
        <f t="shared" si="70"/>
        <v>2620.39527617369</v>
      </c>
      <c r="BL39" s="64">
        <f t="shared" si="45"/>
        <v>2400.8600356885463</v>
      </c>
    </row>
    <row r="40" spans="1:64" x14ac:dyDescent="0.25">
      <c r="A40" s="98" t="s">
        <v>31</v>
      </c>
      <c r="B40" s="220">
        <f>'Ingreso estructural no oil'!K39</f>
        <v>51543.375110422399</v>
      </c>
      <c r="C40" s="40">
        <f>'Ingreso estructural no oil'!L39</f>
        <v>51007.777000000002</v>
      </c>
      <c r="D40" s="12">
        <f t="shared" si="36"/>
        <v>1.01050032253753</v>
      </c>
      <c r="E40" s="64">
        <f>'Ingreso estructural no oil'!N39</f>
        <v>51007.776999999995</v>
      </c>
      <c r="F40" s="12">
        <f t="shared" si="46"/>
        <v>3.6770597506101232E-2</v>
      </c>
      <c r="H40" s="98" t="s">
        <v>31</v>
      </c>
      <c r="I40" s="46">
        <f>SUM('Datos Gastos GC'!B40:B43)</f>
        <v>914.49399999999991</v>
      </c>
      <c r="J40" s="12">
        <f t="shared" si="47"/>
        <v>3.5626866425008785E-2</v>
      </c>
      <c r="K40" s="40">
        <f t="shared" si="48"/>
        <v>0.96889549915791628</v>
      </c>
      <c r="L40" s="64">
        <f t="shared" si="49"/>
        <v>923.79628765998461</v>
      </c>
      <c r="M40" s="27">
        <v>865.67212507882698</v>
      </c>
      <c r="N40" s="98" t="s">
        <v>31</v>
      </c>
      <c r="O40" s="46">
        <f>SUM('Datos Gastos GC'!E40:E43)</f>
        <v>2913.9405671669401</v>
      </c>
      <c r="P40" s="64">
        <f t="shared" si="50"/>
        <v>2.2557257682156884E-2</v>
      </c>
      <c r="Q40" s="64">
        <f t="shared" si="51"/>
        <v>0.61345910080503929</v>
      </c>
      <c r="R40" s="64">
        <f t="shared" si="52"/>
        <v>2932.6728604383202</v>
      </c>
      <c r="T40" s="98" t="s">
        <v>31</v>
      </c>
      <c r="U40" s="46">
        <f>SUM('Datos Gastos GC'!H40:H43)</f>
        <v>537.40670055816668</v>
      </c>
      <c r="V40" s="64">
        <f t="shared" si="53"/>
        <v>6.1291644444809279E-2</v>
      </c>
      <c r="W40" s="64">
        <f t="shared" si="54"/>
        <v>1.6668656100744446</v>
      </c>
      <c r="X40" s="64">
        <f t="shared" si="55"/>
        <v>546.84562300541972</v>
      </c>
      <c r="Z40" s="98" t="s">
        <v>31</v>
      </c>
      <c r="AA40" s="46">
        <f>SUM('Datos Gastos GC'!K40:K43)</f>
        <v>1633.2796189840737</v>
      </c>
      <c r="AB40" s="64">
        <f t="shared" si="56"/>
        <v>8.0273957271270957E-2</v>
      </c>
      <c r="AC40" s="64">
        <f t="shared" si="57"/>
        <v>2.1831017909880672</v>
      </c>
      <c r="AD40" s="64">
        <f t="shared" si="58"/>
        <v>1670.9524405388149</v>
      </c>
      <c r="AF40" s="98" t="s">
        <v>31</v>
      </c>
      <c r="AG40" s="46">
        <f>SUM('Datos Gastos GC'!N40:N43)</f>
        <v>1671.7820680510463</v>
      </c>
      <c r="AH40" s="64">
        <f t="shared" si="59"/>
        <v>0.10697529660490468</v>
      </c>
      <c r="AI40" s="64">
        <f t="shared" si="60"/>
        <v>2.909261852140276</v>
      </c>
      <c r="AJ40" s="64">
        <f t="shared" si="61"/>
        <v>1723.3655307885658</v>
      </c>
      <c r="AK40" s="27">
        <v>1988.4393349669799</v>
      </c>
      <c r="AL40" s="98" t="s">
        <v>31</v>
      </c>
      <c r="AM40" s="46">
        <f>SUM('Datos Gastos GC'!Q40:Q43)</f>
        <v>955.67292860000009</v>
      </c>
      <c r="AN40" s="64">
        <f t="shared" si="62"/>
        <v>7.3024507028904395E-2</v>
      </c>
      <c r="AO40" s="64">
        <f t="shared" si="63"/>
        <v>1.9859483386634569</v>
      </c>
      <c r="AP40" s="64">
        <f t="shared" si="64"/>
        <v>975.70482376346149</v>
      </c>
      <c r="AQ40" s="27">
        <v>1073.3655397371199</v>
      </c>
      <c r="AR40" s="98" t="s">
        <v>31</v>
      </c>
      <c r="AS40" s="46">
        <f>SUM('Datos Gastos GC'!T40:T43)</f>
        <v>8626.5758833602267</v>
      </c>
      <c r="AT40" s="64">
        <f t="shared" si="65"/>
        <v>5.8237018079484892E-2</v>
      </c>
      <c r="AU40" s="64">
        <f t="shared" si="66"/>
        <v>1.5837930854896172</v>
      </c>
      <c r="AV40" s="64">
        <f t="shared" si="67"/>
        <v>8770.4778347134124</v>
      </c>
      <c r="AW40" s="27">
        <v>9467.8839026728201</v>
      </c>
      <c r="AY40" s="255" t="s">
        <v>31</v>
      </c>
      <c r="AZ40" s="251">
        <f t="shared" si="37"/>
        <v>923.79628765998461</v>
      </c>
      <c r="BA40" s="251">
        <f t="shared" si="38"/>
        <v>2932.6728604383202</v>
      </c>
      <c r="BB40" s="251">
        <f t="shared" si="39"/>
        <v>546.84562300541972</v>
      </c>
      <c r="BC40" s="251">
        <f t="shared" si="40"/>
        <v>1670.9524405388149</v>
      </c>
      <c r="BD40" s="251">
        <f t="shared" si="41"/>
        <v>1723.3655307885658</v>
      </c>
      <c r="BE40" s="251">
        <f t="shared" si="42"/>
        <v>975.70482376346149</v>
      </c>
      <c r="BF40" s="251">
        <f t="shared" si="71"/>
        <v>8773.3375661945665</v>
      </c>
      <c r="BG40" s="64">
        <f t="shared" si="43"/>
        <v>8626.5758833602267</v>
      </c>
      <c r="BH40" s="64">
        <f t="shared" si="68"/>
        <v>7849.5412785345816</v>
      </c>
      <c r="BI40" s="64">
        <f t="shared" si="69"/>
        <v>6074.2672116425392</v>
      </c>
      <c r="BJ40" s="64">
        <f t="shared" si="44"/>
        <v>5999.12088670918</v>
      </c>
      <c r="BK40" s="64">
        <f t="shared" si="70"/>
        <v>2699.0703545520273</v>
      </c>
      <c r="BL40" s="64">
        <f t="shared" si="45"/>
        <v>2627.4549966510463</v>
      </c>
    </row>
    <row r="41" spans="1:64" x14ac:dyDescent="0.25">
      <c r="A41" s="98" t="s">
        <v>32</v>
      </c>
      <c r="B41" s="220">
        <f>'Ingreso estructural no oil'!K40</f>
        <v>52004.947475839297</v>
      </c>
      <c r="C41" s="40">
        <f>'Ingreso estructural no oil'!L40</f>
        <v>51662.682000000001</v>
      </c>
      <c r="D41" s="12">
        <f t="shared" si="36"/>
        <v>1.0066250040181672</v>
      </c>
      <c r="E41" s="64">
        <f>'Ingreso estructural no oil'!N40</f>
        <v>53541.546999999999</v>
      </c>
      <c r="F41" s="12">
        <f t="shared" si="46"/>
        <v>4.9674189878927688E-2</v>
      </c>
      <c r="H41" s="98" t="s">
        <v>32</v>
      </c>
      <c r="I41" s="46">
        <f>SUM('Datos Gastos GC'!B41:B44)</f>
        <v>877.31100000000004</v>
      </c>
      <c r="J41" s="12">
        <f t="shared" si="47"/>
        <v>-4.0659643474970752E-2</v>
      </c>
      <c r="K41" s="40">
        <f t="shared" si="48"/>
        <v>-0.81852655421400233</v>
      </c>
      <c r="L41" s="64">
        <f t="shared" si="49"/>
        <v>872.58204995173787</v>
      </c>
      <c r="M41" s="27">
        <v>838.20099694933401</v>
      </c>
      <c r="N41" s="98" t="s">
        <v>32</v>
      </c>
      <c r="O41" s="46">
        <f>SUM('Datos Gastos GC'!E41:E44)</f>
        <v>3052.8106939169402</v>
      </c>
      <c r="P41" s="64">
        <f t="shared" si="50"/>
        <v>4.7657158253236354E-2</v>
      </c>
      <c r="Q41" s="64">
        <f t="shared" si="51"/>
        <v>0.95939477562477615</v>
      </c>
      <c r="R41" s="64">
        <f t="shared" si="52"/>
        <v>3072.2117372060011</v>
      </c>
      <c r="T41" s="98" t="s">
        <v>32</v>
      </c>
      <c r="U41" s="46">
        <f>SUM('Datos Gastos GC'!H41:H44)</f>
        <v>535.11719864816655</v>
      </c>
      <c r="V41" s="64">
        <f t="shared" si="53"/>
        <v>-4.2602779377745037E-3</v>
      </c>
      <c r="W41" s="64">
        <f t="shared" si="54"/>
        <v>-8.5764417057594702E-2</v>
      </c>
      <c r="X41" s="64">
        <f t="shared" si="55"/>
        <v>534.81423914390962</v>
      </c>
      <c r="Z41" s="98" t="s">
        <v>32</v>
      </c>
      <c r="AA41" s="46">
        <f>SUM('Datos Gastos GC'!K41:K44)</f>
        <v>2003.9074228971085</v>
      </c>
      <c r="AB41" s="64">
        <f t="shared" si="56"/>
        <v>0.22692244463539635</v>
      </c>
      <c r="AC41" s="64">
        <f t="shared" si="57"/>
        <v>4.568216314920905</v>
      </c>
      <c r="AD41" s="64">
        <f t="shared" si="58"/>
        <v>2065.2754905245561</v>
      </c>
      <c r="AF41" s="98" t="s">
        <v>32</v>
      </c>
      <c r="AG41" s="46">
        <f>SUM('Datos Gastos GC'!N41:N44)</f>
        <v>1930.3691484438332</v>
      </c>
      <c r="AH41" s="64">
        <f t="shared" si="59"/>
        <v>0.15467750571953798</v>
      </c>
      <c r="AI41" s="64">
        <f t="shared" si="60"/>
        <v>3.1138405295896692</v>
      </c>
      <c r="AJ41" s="64">
        <f t="shared" si="61"/>
        <v>1970.4706548436577</v>
      </c>
      <c r="AK41" s="27">
        <v>2270.5714984398201</v>
      </c>
      <c r="AL41" s="98" t="s">
        <v>32</v>
      </c>
      <c r="AM41" s="46">
        <f>SUM('Datos Gastos GC'!Q41:Q44)</f>
        <v>1157.1818723150002</v>
      </c>
      <c r="AN41" s="64">
        <f t="shared" si="62"/>
        <v>0.21085555286179125</v>
      </c>
      <c r="AO41" s="64">
        <f t="shared" si="63"/>
        <v>4.2447708432833124</v>
      </c>
      <c r="AP41" s="64">
        <f t="shared" si="64"/>
        <v>1190.0752128712581</v>
      </c>
      <c r="AQ41" s="27">
        <v>1159.10494438917</v>
      </c>
      <c r="AR41" s="98" t="s">
        <v>32</v>
      </c>
      <c r="AS41" s="46">
        <f>SUM('Datos Gastos GC'!T41:T44)</f>
        <v>9556.6973362210483</v>
      </c>
      <c r="AT41" s="64">
        <f t="shared" si="65"/>
        <v>0.10782046844970439</v>
      </c>
      <c r="AU41" s="64">
        <f t="shared" si="66"/>
        <v>2.1705531325724339</v>
      </c>
      <c r="AV41" s="64">
        <f t="shared" si="67"/>
        <v>9694.6549688538198</v>
      </c>
      <c r="AW41" s="27">
        <v>10161.855170188601</v>
      </c>
      <c r="AY41" s="255" t="s">
        <v>32</v>
      </c>
      <c r="AZ41" s="251">
        <f t="shared" si="37"/>
        <v>872.58204995173787</v>
      </c>
      <c r="BA41" s="251">
        <f t="shared" si="38"/>
        <v>3072.2117372060011</v>
      </c>
      <c r="BB41" s="251">
        <f t="shared" si="39"/>
        <v>534.81423914390962</v>
      </c>
      <c r="BC41" s="251">
        <f t="shared" si="40"/>
        <v>2065.2754905245561</v>
      </c>
      <c r="BD41" s="251">
        <f t="shared" si="41"/>
        <v>1970.4706548436577</v>
      </c>
      <c r="BE41" s="251">
        <f t="shared" si="42"/>
        <v>1190.0752128712581</v>
      </c>
      <c r="BF41" s="251">
        <f t="shared" si="71"/>
        <v>9705.4293845411194</v>
      </c>
      <c r="BG41" s="64">
        <f t="shared" si="43"/>
        <v>9556.6973362210501</v>
      </c>
      <c r="BH41" s="64">
        <f t="shared" si="68"/>
        <v>8832.8473345893817</v>
      </c>
      <c r="BI41" s="64">
        <f t="shared" si="69"/>
        <v>6544.8835168262049</v>
      </c>
      <c r="BJ41" s="64">
        <f t="shared" si="44"/>
        <v>6469.1463154622152</v>
      </c>
      <c r="BK41" s="64">
        <f t="shared" si="70"/>
        <v>3160.5458677149159</v>
      </c>
      <c r="BL41" s="64">
        <f t="shared" si="45"/>
        <v>3087.5510207588331</v>
      </c>
    </row>
    <row r="42" spans="1:64" x14ac:dyDescent="0.25">
      <c r="A42" s="98" t="s">
        <v>33</v>
      </c>
      <c r="B42" s="220">
        <f>'Ingreso estructural no oil'!K41</f>
        <v>52464.986299153999</v>
      </c>
      <c r="C42" s="40">
        <f>'Ingreso estructural no oil'!L41</f>
        <v>52459.264000000003</v>
      </c>
      <c r="D42" s="12">
        <f t="shared" si="36"/>
        <v>1.0001090808127617</v>
      </c>
      <c r="E42" s="64">
        <f>'Ingreso estructural no oil'!N41</f>
        <v>56847.435000000005</v>
      </c>
      <c r="F42" s="12">
        <f t="shared" si="46"/>
        <v>6.1744349672974597E-2</v>
      </c>
      <c r="H42" s="98" t="s">
        <v>33</v>
      </c>
      <c r="I42" s="46">
        <f>SUM('Datos Gastos GC'!B42:B45)</f>
        <v>897.15900000000011</v>
      </c>
      <c r="J42" s="12">
        <f t="shared" si="47"/>
        <v>2.2623676210602683E-2</v>
      </c>
      <c r="K42" s="40">
        <f t="shared" si="48"/>
        <v>0.36640885085724745</v>
      </c>
      <c r="L42" s="64">
        <f t="shared" si="49"/>
        <v>897.19485656910319</v>
      </c>
      <c r="M42" s="27">
        <v>804.39595610953302</v>
      </c>
      <c r="N42" s="98" t="s">
        <v>33</v>
      </c>
      <c r="O42" s="46">
        <f>SUM('Datos Gastos GC'!E42:E45)</f>
        <v>3256.9439541469401</v>
      </c>
      <c r="P42" s="64">
        <f t="shared" si="50"/>
        <v>6.6867316940666388E-2</v>
      </c>
      <c r="Q42" s="64">
        <f t="shared" si="51"/>
        <v>1.0829706247587882</v>
      </c>
      <c r="R42" s="64">
        <f t="shared" si="52"/>
        <v>3257.3287029632243</v>
      </c>
      <c r="T42" s="98" t="s">
        <v>33</v>
      </c>
      <c r="U42" s="46">
        <f>SUM('Datos Gastos GC'!H42:H45)</f>
        <v>618.30830023816657</v>
      </c>
      <c r="V42" s="64">
        <f t="shared" si="53"/>
        <v>0.15546332990260936</v>
      </c>
      <c r="W42" s="64">
        <f t="shared" si="54"/>
        <v>2.5178551677361889</v>
      </c>
      <c r="X42" s="64">
        <f t="shared" si="55"/>
        <v>618.47813247855208</v>
      </c>
      <c r="Z42" s="98" t="s">
        <v>33</v>
      </c>
      <c r="AA42" s="46">
        <f>SUM('Datos Gastos GC'!K42:K45)</f>
        <v>2397.4469001423618</v>
      </c>
      <c r="AB42" s="64">
        <f t="shared" si="56"/>
        <v>0.19638605693485656</v>
      </c>
      <c r="AC42" s="64">
        <f t="shared" si="57"/>
        <v>3.1806320412313682</v>
      </c>
      <c r="AD42" s="64">
        <f t="shared" si="58"/>
        <v>2398.2787835128279</v>
      </c>
      <c r="AF42" s="98" t="s">
        <v>33</v>
      </c>
      <c r="AG42" s="46">
        <f>SUM('Datos Gastos GC'!N42:N45)</f>
        <v>2287.870802898</v>
      </c>
      <c r="AH42" s="64">
        <f t="shared" si="59"/>
        <v>0.18519859517148141</v>
      </c>
      <c r="AI42" s="64">
        <f t="shared" si="60"/>
        <v>2.9994419918968318</v>
      </c>
      <c r="AJ42" s="64">
        <f t="shared" si="61"/>
        <v>2288.6194336924896</v>
      </c>
      <c r="AK42" s="27">
        <v>2560.45354032655</v>
      </c>
      <c r="AL42" s="98" t="s">
        <v>33</v>
      </c>
      <c r="AM42" s="46">
        <f>SUM('Datos Gastos GC'!Q42:Q45)</f>
        <v>1382.3156306000001</v>
      </c>
      <c r="AN42" s="64">
        <f t="shared" si="62"/>
        <v>0.19455347830035441</v>
      </c>
      <c r="AO42" s="64">
        <f t="shared" si="63"/>
        <v>3.1509519386113181</v>
      </c>
      <c r="AP42" s="64">
        <f t="shared" si="64"/>
        <v>1382.790799831226</v>
      </c>
      <c r="AQ42" s="27">
        <v>1251.53976110693</v>
      </c>
      <c r="AR42" s="98" t="s">
        <v>33</v>
      </c>
      <c r="AS42" s="46">
        <f>SUM('Datos Gastos GC'!T42:T45)</f>
        <v>10840.044588025467</v>
      </c>
      <c r="AT42" s="64">
        <f t="shared" si="65"/>
        <v>0.13428773630199364</v>
      </c>
      <c r="AU42" s="64">
        <f t="shared" si="66"/>
        <v>2.1748991934199799</v>
      </c>
      <c r="AV42" s="64">
        <f t="shared" si="67"/>
        <v>10842.616442522258</v>
      </c>
      <c r="AW42" s="27">
        <v>10876.831166158199</v>
      </c>
      <c r="AY42" s="255" t="s">
        <v>33</v>
      </c>
      <c r="AZ42" s="251">
        <f t="shared" si="37"/>
        <v>897.19485656910319</v>
      </c>
      <c r="BA42" s="251">
        <f t="shared" si="38"/>
        <v>3257.3287029632243</v>
      </c>
      <c r="BB42" s="251">
        <f t="shared" si="39"/>
        <v>618.47813247855208</v>
      </c>
      <c r="BC42" s="251">
        <f t="shared" si="40"/>
        <v>2398.2787835128279</v>
      </c>
      <c r="BD42" s="251">
        <f t="shared" si="41"/>
        <v>2288.6194336924896</v>
      </c>
      <c r="BE42" s="251">
        <f t="shared" si="42"/>
        <v>1382.790799831226</v>
      </c>
      <c r="BF42" s="251">
        <f t="shared" si="71"/>
        <v>10842.690709047421</v>
      </c>
      <c r="BG42" s="64">
        <f t="shared" si="43"/>
        <v>10840.044588025468</v>
      </c>
      <c r="BH42" s="64">
        <f t="shared" si="68"/>
        <v>9945.4958524783178</v>
      </c>
      <c r="BI42" s="64">
        <f t="shared" si="69"/>
        <v>7171.2804755237066</v>
      </c>
      <c r="BJ42" s="64">
        <f t="shared" si="44"/>
        <v>7169.8581545274683</v>
      </c>
      <c r="BK42" s="64">
        <f t="shared" si="70"/>
        <v>3671.4102335237158</v>
      </c>
      <c r="BL42" s="64">
        <f t="shared" si="45"/>
        <v>3670.186433498</v>
      </c>
    </row>
    <row r="43" spans="1:64" x14ac:dyDescent="0.25">
      <c r="A43" s="98" t="s">
        <v>34</v>
      </c>
      <c r="B43" s="220">
        <f>'Ingreso estructural no oil'!K42</f>
        <v>52915.114981073901</v>
      </c>
      <c r="C43" s="40">
        <f>'Ingreso estructural no oil'!L42</f>
        <v>53327.000999999997</v>
      </c>
      <c r="D43" s="12">
        <f t="shared" si="36"/>
        <v>0.9922762200910924</v>
      </c>
      <c r="E43" s="64">
        <f>'Ingreso estructural no oil'!N42</f>
        <v>60137.862999999998</v>
      </c>
      <c r="F43" s="12">
        <f t="shared" si="46"/>
        <v>5.7881732042967204E-2</v>
      </c>
      <c r="H43" s="98" t="s">
        <v>34</v>
      </c>
      <c r="I43" s="46">
        <f>SUM('Datos Gastos GC'!B43:B46)</f>
        <v>857.60500000000013</v>
      </c>
      <c r="J43" s="12">
        <f t="shared" si="47"/>
        <v>-4.4088060198916756E-2</v>
      </c>
      <c r="K43" s="40">
        <f t="shared" si="48"/>
        <v>-0.76169213744656039</v>
      </c>
      <c r="L43" s="64">
        <f t="shared" si="49"/>
        <v>862.68498448278103</v>
      </c>
      <c r="M43" s="27">
        <v>764.965822541183</v>
      </c>
      <c r="N43" s="98" t="s">
        <v>34</v>
      </c>
      <c r="O43" s="46">
        <f>SUM('Datos Gastos GC'!E43:E46)</f>
        <v>3465.0000902889396</v>
      </c>
      <c r="P43" s="64">
        <f t="shared" si="50"/>
        <v>6.3880784892564657E-2</v>
      </c>
      <c r="Q43" s="64">
        <f t="shared" si="51"/>
        <v>1.1036432849857394</v>
      </c>
      <c r="R43" s="64">
        <f t="shared" si="52"/>
        <v>3435.4752472436035</v>
      </c>
      <c r="T43" s="98" t="s">
        <v>34</v>
      </c>
      <c r="U43" s="46">
        <f>SUM('Datos Gastos GC'!H43:H46)</f>
        <v>707.63972552816654</v>
      </c>
      <c r="V43" s="64">
        <f t="shared" si="53"/>
        <v>0.14447715687399043</v>
      </c>
      <c r="W43" s="64">
        <f t="shared" si="54"/>
        <v>2.4960752170778346</v>
      </c>
      <c r="X43" s="64">
        <f t="shared" si="55"/>
        <v>694.07576554737784</v>
      </c>
      <c r="Z43" s="98" t="s">
        <v>34</v>
      </c>
      <c r="AA43" s="46">
        <f>SUM('Datos Gastos GC'!K43:K46)</f>
        <v>2650.7459934866561</v>
      </c>
      <c r="AB43" s="64">
        <f t="shared" si="56"/>
        <v>0.10565368239407236</v>
      </c>
      <c r="AC43" s="64">
        <f t="shared" si="57"/>
        <v>1.8253372638476457</v>
      </c>
      <c r="AD43" s="64">
        <f t="shared" si="58"/>
        <v>2613.4936127256337</v>
      </c>
      <c r="AF43" s="98" t="s">
        <v>34</v>
      </c>
      <c r="AG43" s="46">
        <f>SUM('Datos Gastos GC'!N43:N46)</f>
        <v>3074.9805302688337</v>
      </c>
      <c r="AH43" s="64">
        <f t="shared" si="59"/>
        <v>0.34403591600269467</v>
      </c>
      <c r="AI43" s="64">
        <f t="shared" si="60"/>
        <v>5.9437736892065933</v>
      </c>
      <c r="AJ43" s="64">
        <f t="shared" si="61"/>
        <v>2936.4810960758314</v>
      </c>
      <c r="AK43" s="27">
        <v>2843.7242300490302</v>
      </c>
      <c r="AL43" s="98" t="s">
        <v>34</v>
      </c>
      <c r="AM43" s="46">
        <f>SUM('Datos Gastos GC'!Q43:Q46)</f>
        <v>1452.9358409650001</v>
      </c>
      <c r="AN43" s="64">
        <f t="shared" si="62"/>
        <v>5.1088339596034871E-2</v>
      </c>
      <c r="AO43" s="64">
        <f t="shared" si="63"/>
        <v>0.88263322110179065</v>
      </c>
      <c r="AP43" s="64">
        <f t="shared" si="64"/>
        <v>1443.0262901801273</v>
      </c>
      <c r="AQ43" s="27">
        <v>1348.4500147292799</v>
      </c>
      <c r="AR43" s="98" t="s">
        <v>34</v>
      </c>
      <c r="AS43" s="46">
        <f>SUM('Datos Gastos GC'!T43:T46)</f>
        <v>12208.907180537593</v>
      </c>
      <c r="AT43" s="64">
        <f t="shared" si="65"/>
        <v>0.12627831752871677</v>
      </c>
      <c r="AU43" s="64">
        <f t="shared" si="66"/>
        <v>2.1816610020407974</v>
      </c>
      <c r="AV43" s="64">
        <f t="shared" si="67"/>
        <v>12004.11731146646</v>
      </c>
      <c r="AW43" s="27">
        <v>11582.8784686893</v>
      </c>
      <c r="AY43" s="255" t="s">
        <v>34</v>
      </c>
      <c r="AZ43" s="251">
        <f t="shared" si="37"/>
        <v>862.68498448278103</v>
      </c>
      <c r="BA43" s="251">
        <f t="shared" si="38"/>
        <v>3435.4752472436035</v>
      </c>
      <c r="BB43" s="251">
        <f t="shared" si="39"/>
        <v>694.07576554737784</v>
      </c>
      <c r="BC43" s="251">
        <f t="shared" si="40"/>
        <v>2613.4936127256337</v>
      </c>
      <c r="BD43" s="251">
        <f t="shared" si="41"/>
        <v>2936.4810960758314</v>
      </c>
      <c r="BE43" s="251">
        <f t="shared" si="42"/>
        <v>1443.0262901801273</v>
      </c>
      <c r="BF43" s="251">
        <f t="shared" si="71"/>
        <v>11985.236996255355</v>
      </c>
      <c r="BG43" s="64">
        <f t="shared" si="43"/>
        <v>12208.907180537595</v>
      </c>
      <c r="BH43" s="64">
        <f t="shared" si="68"/>
        <v>11122.552011772574</v>
      </c>
      <c r="BI43" s="64">
        <f t="shared" si="69"/>
        <v>7605.7296099993964</v>
      </c>
      <c r="BJ43" s="64">
        <f t="shared" si="44"/>
        <v>7680.9908093037629</v>
      </c>
      <c r="BK43" s="64">
        <f t="shared" si="70"/>
        <v>4379.5073862559584</v>
      </c>
      <c r="BL43" s="64">
        <f t="shared" si="45"/>
        <v>4527.9163712338341</v>
      </c>
    </row>
    <row r="44" spans="1:64" x14ac:dyDescent="0.25">
      <c r="A44" s="98" t="s">
        <v>35</v>
      </c>
      <c r="B44" s="220">
        <f>'Ingreso estructural no oil'!K43</f>
        <v>53346.900059314998</v>
      </c>
      <c r="C44" s="40">
        <f>'Ingreso estructural no oil'!L43</f>
        <v>54250.408000000003</v>
      </c>
      <c r="D44" s="12">
        <f t="shared" si="36"/>
        <v>0.98334560100110202</v>
      </c>
      <c r="E44" s="64">
        <f>'Ingreso estructural no oil'!N43</f>
        <v>61762.635000000009</v>
      </c>
      <c r="F44" s="12">
        <f t="shared" si="46"/>
        <v>2.7017454876971714E-2</v>
      </c>
      <c r="H44" s="98" t="s">
        <v>35</v>
      </c>
      <c r="I44" s="46">
        <f>SUM('Datos Gastos GC'!B44:B47)</f>
        <v>796.92600000000004</v>
      </c>
      <c r="J44" s="12">
        <f t="shared" si="47"/>
        <v>-7.0754018458381251E-2</v>
      </c>
      <c r="K44" s="40">
        <f t="shared" si="48"/>
        <v>-2.6188261914592235</v>
      </c>
      <c r="L44" s="64">
        <f t="shared" si="49"/>
        <v>832.75882691827974</v>
      </c>
      <c r="M44" s="27">
        <v>721.54545666495005</v>
      </c>
      <c r="N44" s="98" t="s">
        <v>35</v>
      </c>
      <c r="O44" s="46">
        <f>SUM('Datos Gastos GC'!E44:E47)</f>
        <v>3928.6077268935778</v>
      </c>
      <c r="P44" s="64">
        <f t="shared" si="50"/>
        <v>0.13379729423498476</v>
      </c>
      <c r="Q44" s="64">
        <f t="shared" si="51"/>
        <v>4.9522538242129786</v>
      </c>
      <c r="R44" s="64">
        <f t="shared" si="52"/>
        <v>3615.0791892672396</v>
      </c>
      <c r="T44" s="98" t="s">
        <v>35</v>
      </c>
      <c r="U44" s="46">
        <f>SUM('Datos Gastos GC'!H44:H47)</f>
        <v>844.55459539556591</v>
      </c>
      <c r="V44" s="64">
        <f t="shared" si="53"/>
        <v>0.19348103975537723</v>
      </c>
      <c r="W44" s="64">
        <f t="shared" si="54"/>
        <v>7.16133479768631</v>
      </c>
      <c r="X44" s="64">
        <f t="shared" si="55"/>
        <v>748.84897108937798</v>
      </c>
      <c r="Z44" s="98" t="s">
        <v>35</v>
      </c>
      <c r="AA44" s="46">
        <f>SUM('Datos Gastos GC'!K44:K47)</f>
        <v>2915.1820348955225</v>
      </c>
      <c r="AB44" s="64">
        <f t="shared" si="56"/>
        <v>9.9759102554010104E-2</v>
      </c>
      <c r="AC44" s="64">
        <f t="shared" si="57"/>
        <v>3.6923945282144106</v>
      </c>
      <c r="AD44" s="64">
        <f t="shared" si="58"/>
        <v>2739.8956022999328</v>
      </c>
      <c r="AF44" s="98" t="s">
        <v>35</v>
      </c>
      <c r="AG44" s="46">
        <f>SUM('Datos Gastos GC'!N44:N47)</f>
        <v>4307.9090154930564</v>
      </c>
      <c r="AH44" s="64">
        <f t="shared" si="59"/>
        <v>0.40095489161241371</v>
      </c>
      <c r="AI44" s="64">
        <f t="shared" si="60"/>
        <v>14.840587073735321</v>
      </c>
      <c r="AJ44" s="64">
        <f>AG44*((D44)^AI44)</f>
        <v>3357.5457661171667</v>
      </c>
      <c r="AK44" s="27">
        <v>3103.2978016258498</v>
      </c>
      <c r="AL44" s="98" t="s">
        <v>35</v>
      </c>
      <c r="AM44" s="46">
        <f>SUM('Datos Gastos GC'!Q44:Q47)</f>
        <v>1620.6822839298025</v>
      </c>
      <c r="AN44" s="64">
        <f t="shared" si="62"/>
        <v>0.11545344139448699</v>
      </c>
      <c r="AO44" s="64">
        <f t="shared" si="63"/>
        <v>4.2732908010848032</v>
      </c>
      <c r="AP44" s="64">
        <f t="shared" si="64"/>
        <v>1508.4442639136182</v>
      </c>
      <c r="AQ44" s="27">
        <v>1448.92033248399</v>
      </c>
      <c r="AR44" s="98" t="s">
        <v>35</v>
      </c>
      <c r="AS44" s="46">
        <f>SUM('Datos Gastos GC'!T44:T47)</f>
        <v>14413.861656607523</v>
      </c>
      <c r="AT44" s="64">
        <f t="shared" si="65"/>
        <v>0.18060211642733126</v>
      </c>
      <c r="AU44" s="64">
        <f t="shared" si="66"/>
        <v>6.6846458058218943</v>
      </c>
      <c r="AV44" s="64">
        <f t="shared" si="67"/>
        <v>12883.199781394751</v>
      </c>
      <c r="AW44" s="27">
        <v>12249.695344228099</v>
      </c>
      <c r="AY44" s="255" t="s">
        <v>35</v>
      </c>
      <c r="AZ44" s="251">
        <f t="shared" si="37"/>
        <v>832.75882691827974</v>
      </c>
      <c r="BA44" s="251">
        <f t="shared" si="38"/>
        <v>3615.0791892672396</v>
      </c>
      <c r="BB44" s="251">
        <f t="shared" si="39"/>
        <v>748.84897108937798</v>
      </c>
      <c r="BC44" s="251">
        <f t="shared" si="40"/>
        <v>2739.8956022999328</v>
      </c>
      <c r="BD44" s="251">
        <f t="shared" si="41"/>
        <v>3357.5457661171667</v>
      </c>
      <c r="BE44" s="251">
        <f t="shared" si="42"/>
        <v>1508.4442639136182</v>
      </c>
      <c r="BF44" s="251">
        <f t="shared" si="71"/>
        <v>12802.572619605615</v>
      </c>
      <c r="BG44" s="64">
        <f t="shared" si="43"/>
        <v>14413.861656607525</v>
      </c>
      <c r="BH44" s="64">
        <f t="shared" si="68"/>
        <v>11969.813792687335</v>
      </c>
      <c r="BI44" s="64">
        <f t="shared" si="69"/>
        <v>7936.5825895748303</v>
      </c>
      <c r="BJ44" s="64">
        <f t="shared" si="44"/>
        <v>8485.2703571846669</v>
      </c>
      <c r="BK44" s="64">
        <f t="shared" si="70"/>
        <v>4865.9900300307854</v>
      </c>
      <c r="BL44" s="64">
        <f t="shared" si="45"/>
        <v>5928.5912994228584</v>
      </c>
    </row>
    <row r="45" spans="1:64" x14ac:dyDescent="0.25">
      <c r="A45" s="98" t="s">
        <v>36</v>
      </c>
      <c r="B45" s="220">
        <f>'Ingreso estructural no oil'!K44</f>
        <v>53756.026921782497</v>
      </c>
      <c r="C45" s="40">
        <f>'Ingreso estructural no oil'!L44</f>
        <v>54768.014999999999</v>
      </c>
      <c r="D45" s="12">
        <f t="shared" ref="D45:D76" si="72">B45/C45</f>
        <v>0.98152227941404302</v>
      </c>
      <c r="E45" s="64">
        <f>'Ingreso estructural no oil'!N44</f>
        <v>62278.766999999993</v>
      </c>
      <c r="F45" s="12">
        <f t="shared" si="46"/>
        <v>8.3567030454576585E-3</v>
      </c>
      <c r="H45" s="98" t="s">
        <v>36</v>
      </c>
      <c r="I45" s="46">
        <f>SUM('Datos Gastos GC'!B45:B48)</f>
        <v>643.89499999999998</v>
      </c>
      <c r="J45" s="12">
        <f t="shared" si="47"/>
        <v>-0.19202661225759987</v>
      </c>
      <c r="K45" s="40">
        <f>J45/F45</f>
        <v>-22.978752650781004</v>
      </c>
      <c r="L45" s="157">
        <f>677</f>
        <v>677</v>
      </c>
      <c r="M45" s="27">
        <v>676.70006067608495</v>
      </c>
      <c r="N45" s="98" t="s">
        <v>36</v>
      </c>
      <c r="O45" s="46">
        <f>SUM('Datos Gastos GC'!E45:E48)</f>
        <v>4227.528807323577</v>
      </c>
      <c r="P45" s="64">
        <f t="shared" si="50"/>
        <v>7.6088299267883741E-2</v>
      </c>
      <c r="Q45" s="64">
        <f t="shared" si="51"/>
        <v>9.1050619908340575</v>
      </c>
      <c r="R45" s="64">
        <f t="shared" si="52"/>
        <v>3567.2787666172835</v>
      </c>
      <c r="T45" s="98" t="s">
        <v>36</v>
      </c>
      <c r="U45" s="46">
        <f>SUM('Datos Gastos GC'!H45:H48)</f>
        <v>901.46196799556583</v>
      </c>
      <c r="V45" s="64">
        <f t="shared" si="53"/>
        <v>6.7381520283299245E-2</v>
      </c>
      <c r="W45" s="64">
        <f t="shared" si="54"/>
        <v>8.0631703575879623</v>
      </c>
      <c r="X45" s="64">
        <f t="shared" si="55"/>
        <v>775.59863386783229</v>
      </c>
      <c r="Z45" s="98" t="s">
        <v>36</v>
      </c>
      <c r="AA45" s="46">
        <f>SUM('Datos Gastos GC'!K45:K48)</f>
        <v>2886.9319649268641</v>
      </c>
      <c r="AB45" s="64">
        <f t="shared" si="56"/>
        <v>-9.6906709874365893E-3</v>
      </c>
      <c r="AC45" s="64">
        <f t="shared" si="57"/>
        <v>-1.1596284963965566</v>
      </c>
      <c r="AD45" s="64">
        <f t="shared" si="58"/>
        <v>2950.0498319584844</v>
      </c>
      <c r="AF45" s="98" t="s">
        <v>36</v>
      </c>
      <c r="AG45" s="46">
        <f>SUM('Datos Gastos GC'!N45:N48)</f>
        <v>4264.4633408030568</v>
      </c>
      <c r="AH45" s="64">
        <f t="shared" si="59"/>
        <v>-1.008509570043159E-2</v>
      </c>
      <c r="AI45" s="64">
        <f t="shared" si="60"/>
        <v>-1.2068270998229871</v>
      </c>
      <c r="AJ45" s="64">
        <f t="shared" si="61"/>
        <v>4361.5362798351834</v>
      </c>
      <c r="AK45" s="27">
        <v>3324.40124677515</v>
      </c>
      <c r="AL45" s="98" t="s">
        <v>36</v>
      </c>
      <c r="AM45" s="46">
        <f>SUM('Datos Gastos GC'!Q45:Q48)</f>
        <v>1550.1374837698022</v>
      </c>
      <c r="AN45" s="64">
        <f t="shared" si="62"/>
        <v>-4.3527840625828595E-2</v>
      </c>
      <c r="AO45" s="64">
        <f t="shared" si="63"/>
        <v>-5.2087336822969252</v>
      </c>
      <c r="AP45" s="64">
        <f t="shared" si="64"/>
        <v>1708.2841717220597</v>
      </c>
      <c r="AQ45" s="27">
        <v>1553.08084145156</v>
      </c>
      <c r="AR45" s="98" t="s">
        <v>36</v>
      </c>
      <c r="AS45" s="46">
        <f>SUM('Datos Gastos GC'!T45:T48)</f>
        <v>14474.418564818865</v>
      </c>
      <c r="AT45" s="64">
        <f t="shared" si="65"/>
        <v>4.2012966166899979E-3</v>
      </c>
      <c r="AU45" s="64">
        <f t="shared" si="66"/>
        <v>0.50274571129742851</v>
      </c>
      <c r="AV45" s="193">
        <f t="shared" si="67"/>
        <v>14339.333593975703</v>
      </c>
      <c r="AW45" s="27">
        <v>12853.241274533601</v>
      </c>
      <c r="AY45" s="255" t="s">
        <v>36</v>
      </c>
      <c r="AZ45" s="251">
        <f t="shared" si="37"/>
        <v>677</v>
      </c>
      <c r="BA45" s="251">
        <f t="shared" si="38"/>
        <v>3567.2787666172835</v>
      </c>
      <c r="BB45" s="251">
        <f t="shared" si="39"/>
        <v>775.59863386783229</v>
      </c>
      <c r="BC45" s="251">
        <f t="shared" si="40"/>
        <v>2950.0498319584844</v>
      </c>
      <c r="BD45" s="251">
        <f t="shared" si="41"/>
        <v>4361.5362798351834</v>
      </c>
      <c r="BE45" s="251">
        <f t="shared" si="42"/>
        <v>1708.2841717220597</v>
      </c>
      <c r="BF45" s="251">
        <f t="shared" si="71"/>
        <v>14039.747684000844</v>
      </c>
      <c r="BG45" s="64">
        <f t="shared" si="43"/>
        <v>14474.418564818867</v>
      </c>
      <c r="BH45" s="64">
        <f t="shared" si="68"/>
        <v>13362.747684000844</v>
      </c>
      <c r="BI45" s="64">
        <f t="shared" si="69"/>
        <v>7969.9272324436006</v>
      </c>
      <c r="BJ45" s="64">
        <f t="shared" ref="BJ45:BJ79" si="73">I45+O45+U45+AA45</f>
        <v>8659.8177402460078</v>
      </c>
      <c r="BK45" s="64">
        <f t="shared" si="70"/>
        <v>6069.8204515572434</v>
      </c>
      <c r="BL45" s="64">
        <f t="shared" ref="BL45:BL79" si="74">AG45+AM45</f>
        <v>5814.600824572859</v>
      </c>
    </row>
    <row r="46" spans="1:64" x14ac:dyDescent="0.25">
      <c r="A46" s="98" t="s">
        <v>37</v>
      </c>
      <c r="B46" s="220">
        <f>'Ingreso estructural no oil'!K45</f>
        <v>54147.215955788597</v>
      </c>
      <c r="C46" s="40">
        <f>'Ingreso estructural no oil'!L45</f>
        <v>54993.789000000004</v>
      </c>
      <c r="D46" s="12">
        <f t="shared" si="72"/>
        <v>0.98460602443284262</v>
      </c>
      <c r="E46" s="64">
        <f>'Ingreso estructural no oil'!N45</f>
        <v>62078.712999999996</v>
      </c>
      <c r="F46" s="12">
        <f t="shared" si="46"/>
        <v>-3.2122344361762423E-3</v>
      </c>
      <c r="H46" s="98" t="s">
        <v>37</v>
      </c>
      <c r="I46" s="46">
        <f>SUM('Datos Gastos GC'!B46:B49)</f>
        <v>606.99799999999993</v>
      </c>
      <c r="J46" s="12">
        <f t="shared" si="47"/>
        <v>-5.7302821112137914E-2</v>
      </c>
      <c r="K46" s="40">
        <f t="shared" si="48"/>
        <v>17.838928711675745</v>
      </c>
      <c r="L46" s="64">
        <f t="shared" si="49"/>
        <v>460.25368766249284</v>
      </c>
      <c r="M46" s="27">
        <v>633.74938220319302</v>
      </c>
      <c r="N46" s="98" t="s">
        <v>37</v>
      </c>
      <c r="O46" s="46">
        <f>SUM('Datos Gastos GC'!E46:E49)</f>
        <v>4399.8433878635769</v>
      </c>
      <c r="P46" s="64">
        <f t="shared" si="50"/>
        <v>4.0760119775290482E-2</v>
      </c>
      <c r="Q46" s="64">
        <f t="shared" si="51"/>
        <v>-12.689023975413898</v>
      </c>
      <c r="R46" s="64">
        <f t="shared" si="52"/>
        <v>5357.0988501976481</v>
      </c>
      <c r="T46" s="98" t="s">
        <v>37</v>
      </c>
      <c r="U46" s="46">
        <f>SUM('Datos Gastos GC'!H46:H49)</f>
        <v>959.66987931556582</v>
      </c>
      <c r="V46" s="64">
        <f t="shared" si="53"/>
        <v>6.4570568017891405E-2</v>
      </c>
      <c r="W46" s="64">
        <f t="shared" si="54"/>
        <v>-20.10144941187869</v>
      </c>
      <c r="X46" s="64">
        <f t="shared" si="55"/>
        <v>1310.8578706711053</v>
      </c>
      <c r="Z46" s="98" t="s">
        <v>37</v>
      </c>
      <c r="AA46" s="46">
        <f>SUM('Datos Gastos GC'!K46:K49)</f>
        <v>2867.6716960023195</v>
      </c>
      <c r="AB46" s="64">
        <f t="shared" si="56"/>
        <v>-6.6715354426554185E-3</v>
      </c>
      <c r="AC46" s="64">
        <f t="shared" si="57"/>
        <v>2.0769142399821341</v>
      </c>
      <c r="AD46" s="64">
        <f t="shared" si="58"/>
        <v>2776.7462674155104</v>
      </c>
      <c r="AF46" s="98" t="s">
        <v>37</v>
      </c>
      <c r="AG46" s="46">
        <f>SUM('Datos Gastos GC'!N46:N49)</f>
        <v>4232.7038800700566</v>
      </c>
      <c r="AH46" s="64">
        <f t="shared" si="59"/>
        <v>-7.4474695160633431E-3</v>
      </c>
      <c r="AI46" s="64">
        <f t="shared" si="60"/>
        <v>2.3184701067237827</v>
      </c>
      <c r="AJ46" s="64">
        <f t="shared" si="61"/>
        <v>4083.167235561868</v>
      </c>
      <c r="AK46" s="27">
        <v>3504.3085791987501</v>
      </c>
      <c r="AL46" s="98" t="s">
        <v>37</v>
      </c>
      <c r="AM46" s="46">
        <f>SUM('Datos Gastos GC'!Q46:Q49)</f>
        <v>1503.7671141498022</v>
      </c>
      <c r="AN46" s="64">
        <f t="shared" si="62"/>
        <v>-2.991371417406874E-2</v>
      </c>
      <c r="AO46" s="64">
        <f t="shared" si="63"/>
        <v>9.3124318191661075</v>
      </c>
      <c r="AP46" s="64">
        <f t="shared" si="64"/>
        <v>1301.4814085829796</v>
      </c>
      <c r="AQ46" s="27">
        <v>1662.7824653876501</v>
      </c>
      <c r="AR46" s="98" t="s">
        <v>37</v>
      </c>
      <c r="AS46" s="46">
        <f>SUM('Datos Gastos GC'!T46:T49)</f>
        <v>14570.653957401319</v>
      </c>
      <c r="AT46" s="64">
        <f t="shared" si="65"/>
        <v>6.6486534261460672E-3</v>
      </c>
      <c r="AU46" s="64">
        <f t="shared" si="66"/>
        <v>-2.0697908444255537</v>
      </c>
      <c r="AV46" s="193">
        <f t="shared" si="67"/>
        <v>15046.111756996248</v>
      </c>
      <c r="AW46" s="27">
        <v>13391.1187879228</v>
      </c>
      <c r="AY46" s="255" t="s">
        <v>37</v>
      </c>
      <c r="AZ46" s="251">
        <f t="shared" ref="AZ46:AZ79" si="75">L46</f>
        <v>460.25368766249284</v>
      </c>
      <c r="BA46" s="251">
        <f t="shared" ref="BA46:BA79" si="76">R46</f>
        <v>5357.0988501976481</v>
      </c>
      <c r="BB46" s="251">
        <f t="shared" ref="BB46:BB79" si="77">X46</f>
        <v>1310.8578706711053</v>
      </c>
      <c r="BC46" s="251">
        <f t="shared" ref="BC46:BC79" si="78">AD46</f>
        <v>2776.7462674155104</v>
      </c>
      <c r="BD46" s="251">
        <f t="shared" ref="BD46:BD79" si="79">AJ46</f>
        <v>4083.167235561868</v>
      </c>
      <c r="BE46" s="251">
        <f t="shared" ref="BE46:BE79" si="80">AP46</f>
        <v>1301.4814085829796</v>
      </c>
      <c r="BF46" s="251">
        <f t="shared" si="71"/>
        <v>15289.605320091605</v>
      </c>
      <c r="BG46" s="64">
        <f t="shared" ref="BG46:BG80" si="81">(I46+O46+U46+AA46+AG46+AM46)</f>
        <v>14570.653957401322</v>
      </c>
      <c r="BH46" s="64">
        <f t="shared" si="68"/>
        <v>14829.351632429112</v>
      </c>
      <c r="BI46" s="64">
        <f t="shared" si="69"/>
        <v>9904.9566759467561</v>
      </c>
      <c r="BJ46" s="64">
        <f t="shared" si="73"/>
        <v>8834.1829631814617</v>
      </c>
      <c r="BK46" s="64">
        <f t="shared" si="70"/>
        <v>5384.6486441448478</v>
      </c>
      <c r="BL46" s="64">
        <f t="shared" si="74"/>
        <v>5736.4709942198588</v>
      </c>
    </row>
    <row r="47" spans="1:64" x14ac:dyDescent="0.25">
      <c r="A47" s="98" t="s">
        <v>38</v>
      </c>
      <c r="B47" s="220">
        <f>'Ingreso estructural no oil'!K46</f>
        <v>54535.307279427303</v>
      </c>
      <c r="C47" s="40">
        <f>'Ingreso estructural no oil'!L46</f>
        <v>54884.059000000001</v>
      </c>
      <c r="D47" s="12">
        <f t="shared" si="72"/>
        <v>0.99364566457133396</v>
      </c>
      <c r="E47" s="64">
        <f>'Ingreso estructural no oil'!N46</f>
        <v>61645.224999999999</v>
      </c>
      <c r="F47" s="12">
        <f t="shared" si="46"/>
        <v>-6.9828767229758171E-3</v>
      </c>
      <c r="H47" s="98" t="s">
        <v>38</v>
      </c>
      <c r="I47" s="46">
        <f>SUM('Datos Gastos GC'!B47:B50)</f>
        <v>487.30799999999999</v>
      </c>
      <c r="J47" s="12">
        <f t="shared" si="47"/>
        <v>-0.19718351625540764</v>
      </c>
      <c r="K47" s="40">
        <f t="shared" si="48"/>
        <v>28.238149415786346</v>
      </c>
      <c r="L47" s="64">
        <f t="shared" si="49"/>
        <v>407.03092801674916</v>
      </c>
      <c r="M47" s="27">
        <v>595.68616826811501</v>
      </c>
      <c r="N47" s="98" t="s">
        <v>38</v>
      </c>
      <c r="O47" s="46">
        <f>SUM('Datos Gastos GC'!E47:E50)</f>
        <v>4576.7339189135773</v>
      </c>
      <c r="P47" s="64">
        <f t="shared" si="50"/>
        <v>4.0203824422007983E-2</v>
      </c>
      <c r="Q47" s="64">
        <f t="shared" si="51"/>
        <v>-5.7574873532744757</v>
      </c>
      <c r="R47" s="64">
        <f t="shared" si="52"/>
        <v>4747.8285346771308</v>
      </c>
      <c r="T47" s="98" t="s">
        <v>38</v>
      </c>
      <c r="U47" s="46">
        <f>SUM('Datos Gastos GC'!H47:H50)</f>
        <v>891.51156453556587</v>
      </c>
      <c r="V47" s="64">
        <f t="shared" si="53"/>
        <v>-7.1022667532933625E-2</v>
      </c>
      <c r="W47" s="64">
        <f t="shared" si="54"/>
        <v>10.17097542324457</v>
      </c>
      <c r="X47" s="64">
        <f t="shared" si="55"/>
        <v>835.54349558512831</v>
      </c>
      <c r="Z47" s="98" t="s">
        <v>38</v>
      </c>
      <c r="AA47" s="46">
        <f>SUM('Datos Gastos GC'!K47:K50)</f>
        <v>2615.6088736186671</v>
      </c>
      <c r="AB47" s="64">
        <f t="shared" si="56"/>
        <v>-8.7898075199835723E-2</v>
      </c>
      <c r="AC47" s="64">
        <f t="shared" si="57"/>
        <v>12.587659597458446</v>
      </c>
      <c r="AD47" s="64">
        <f t="shared" si="58"/>
        <v>2413.9284596104476</v>
      </c>
      <c r="AF47" s="98" t="s">
        <v>38</v>
      </c>
      <c r="AG47" s="46">
        <f>SUM('Datos Gastos GC'!N47:N50)</f>
        <v>3795.8876290000562</v>
      </c>
      <c r="AH47" s="64">
        <f t="shared" si="59"/>
        <v>-0.10320028602208065</v>
      </c>
      <c r="AI47" s="64">
        <f t="shared" si="60"/>
        <v>14.779050256253257</v>
      </c>
      <c r="AJ47" s="64">
        <f t="shared" si="61"/>
        <v>3454.6031704839656</v>
      </c>
      <c r="AK47" s="27">
        <v>3649.68980013077</v>
      </c>
      <c r="AL47" s="98" t="s">
        <v>38</v>
      </c>
      <c r="AM47" s="46">
        <f>SUM('Datos Gastos GC'!Q47:Q50)</f>
        <v>1683.5280990598023</v>
      </c>
      <c r="AN47" s="64">
        <f t="shared" si="62"/>
        <v>0.1195404416139485</v>
      </c>
      <c r="AO47" s="64">
        <f t="shared" si="63"/>
        <v>-17.119082343330451</v>
      </c>
      <c r="AP47" s="64">
        <f t="shared" si="64"/>
        <v>1877.646491605379</v>
      </c>
      <c r="AQ47" s="27">
        <v>1779.8453196334001</v>
      </c>
      <c r="AR47" s="98" t="s">
        <v>38</v>
      </c>
      <c r="AS47" s="46">
        <f>SUM('Datos Gastos GC'!T47:T50)</f>
        <v>14050.578085127669</v>
      </c>
      <c r="AT47" s="64">
        <f t="shared" si="65"/>
        <v>-3.5693378882934224E-2</v>
      </c>
      <c r="AU47" s="64">
        <f t="shared" si="66"/>
        <v>5.1115579293404974</v>
      </c>
      <c r="AV47" s="193">
        <f t="shared" si="67"/>
        <v>13600.12998903635</v>
      </c>
      <c r="AW47" s="27">
        <v>13877.137999967401</v>
      </c>
      <c r="AY47" s="255" t="s">
        <v>38</v>
      </c>
      <c r="AZ47" s="251">
        <f t="shared" si="75"/>
        <v>407.03092801674916</v>
      </c>
      <c r="BA47" s="251">
        <f t="shared" si="76"/>
        <v>4747.8285346771308</v>
      </c>
      <c r="BB47" s="251">
        <f t="shared" si="77"/>
        <v>835.54349558512831</v>
      </c>
      <c r="BC47" s="251">
        <f t="shared" si="78"/>
        <v>2413.9284596104476</v>
      </c>
      <c r="BD47" s="251">
        <f t="shared" si="79"/>
        <v>3454.6031704839656</v>
      </c>
      <c r="BE47" s="251">
        <f t="shared" si="80"/>
        <v>1877.646491605379</v>
      </c>
      <c r="BF47" s="251">
        <f t="shared" si="71"/>
        <v>13736.581079978801</v>
      </c>
      <c r="BG47" s="64">
        <f t="shared" si="81"/>
        <v>14050.578085127667</v>
      </c>
      <c r="BH47" s="64">
        <f t="shared" si="68"/>
        <v>13329.550151962052</v>
      </c>
      <c r="BI47" s="64">
        <f t="shared" si="69"/>
        <v>8404.3314178894561</v>
      </c>
      <c r="BJ47" s="64">
        <f t="shared" si="73"/>
        <v>8571.1623570678094</v>
      </c>
      <c r="BK47" s="64">
        <f t="shared" si="70"/>
        <v>5332.2496620893444</v>
      </c>
      <c r="BL47" s="64">
        <f t="shared" si="74"/>
        <v>5479.4157280598583</v>
      </c>
    </row>
    <row r="48" spans="1:64" x14ac:dyDescent="0.25">
      <c r="A48" s="98" t="s">
        <v>39</v>
      </c>
      <c r="B48" s="220">
        <f>'Ingreso estructural no oil'!K47</f>
        <v>54943.606851235003</v>
      </c>
      <c r="C48" s="40">
        <f>'Ingreso estructural no oil'!L47</f>
        <v>54557.732000000004</v>
      </c>
      <c r="D48" s="12">
        <f t="shared" si="72"/>
        <v>1.0070727802841035</v>
      </c>
      <c r="E48" s="64">
        <f>'Ingreso estructural no oil'!N47</f>
        <v>62519.686000000002</v>
      </c>
      <c r="F48" s="12">
        <f t="shared" si="46"/>
        <v>1.4185380943941839E-2</v>
      </c>
      <c r="H48" s="98" t="s">
        <v>39</v>
      </c>
      <c r="I48" s="46">
        <f>SUM('Datos Gastos GC'!B48:B51)</f>
        <v>474.09599999999995</v>
      </c>
      <c r="J48" s="12">
        <f t="shared" si="47"/>
        <v>-2.7112216503730746E-2</v>
      </c>
      <c r="K48" s="40">
        <f t="shared" si="48"/>
        <v>-1.9112787038200465</v>
      </c>
      <c r="L48" s="64">
        <f t="shared" si="49"/>
        <v>467.75252316204973</v>
      </c>
      <c r="M48" s="27">
        <v>565.23567207066196</v>
      </c>
      <c r="N48" s="98" t="s">
        <v>39</v>
      </c>
      <c r="O48" s="46">
        <f>SUM('Datos Gastos GC'!E48:E51)</f>
        <v>4707.8289511399998</v>
      </c>
      <c r="P48" s="64">
        <f t="shared" si="50"/>
        <v>2.8643795892233426E-2</v>
      </c>
      <c r="Q48" s="64">
        <f t="shared" si="51"/>
        <v>2.0192475623621764</v>
      </c>
      <c r="R48" s="64">
        <f t="shared" si="52"/>
        <v>4775.3070846989795</v>
      </c>
      <c r="T48" s="98" t="s">
        <v>39</v>
      </c>
      <c r="U48" s="46">
        <f>SUM('Datos Gastos GC'!H48:H51)</f>
        <v>823.99086506000003</v>
      </c>
      <c r="V48" s="64">
        <f t="shared" si="53"/>
        <v>-7.5737323172852866E-2</v>
      </c>
      <c r="W48" s="64">
        <f t="shared" si="54"/>
        <v>-5.3391109813796058</v>
      </c>
      <c r="X48" s="64">
        <f t="shared" si="55"/>
        <v>793.56067410969308</v>
      </c>
      <c r="Z48" s="98" t="s">
        <v>39</v>
      </c>
      <c r="AA48" s="46">
        <f>SUM('Datos Gastos GC'!K48:K51)</f>
        <v>2329.6594119187498</v>
      </c>
      <c r="AB48" s="64">
        <f t="shared" si="56"/>
        <v>-0.10932424361456961</v>
      </c>
      <c r="AC48" s="64">
        <f t="shared" si="57"/>
        <v>-7.7068246560737439</v>
      </c>
      <c r="AD48" s="64">
        <f t="shared" si="58"/>
        <v>2206.4949567605145</v>
      </c>
      <c r="AF48" s="98" t="s">
        <v>39</v>
      </c>
      <c r="AG48" s="46">
        <f>SUM('Datos Gastos GC'!N48:N51)</f>
        <v>3507.0963961449997</v>
      </c>
      <c r="AH48" s="64">
        <f t="shared" si="59"/>
        <v>-7.6080026881915952E-2</v>
      </c>
      <c r="AI48" s="64">
        <f t="shared" si="60"/>
        <v>-5.3632699172881573</v>
      </c>
      <c r="AJ48" s="64">
        <f t="shared" si="61"/>
        <v>3377.0033903037679</v>
      </c>
      <c r="AK48" s="27">
        <v>3774.5018250133098</v>
      </c>
      <c r="AL48" s="98" t="s">
        <v>39</v>
      </c>
      <c r="AM48" s="46">
        <f>SUM('Datos Gastos GC'!Q48:Q51)</f>
        <v>1755.0321730400001</v>
      </c>
      <c r="AN48" s="64">
        <f t="shared" si="62"/>
        <v>4.2472753510993E-2</v>
      </c>
      <c r="AO48" s="64">
        <f t="shared" si="63"/>
        <v>2.9941214605965074</v>
      </c>
      <c r="AP48" s="64">
        <f t="shared" si="64"/>
        <v>1792.4607817247793</v>
      </c>
      <c r="AQ48" s="27">
        <v>1904.5016948760699</v>
      </c>
      <c r="AR48" s="98" t="s">
        <v>39</v>
      </c>
      <c r="AS48" s="46">
        <f>SUM('Datos Gastos GC'!T48:T51)</f>
        <v>13597.70379730375</v>
      </c>
      <c r="AT48" s="64">
        <f t="shared" si="65"/>
        <v>-3.2231719227501343E-2</v>
      </c>
      <c r="AU48" s="64">
        <f t="shared" si="66"/>
        <v>-2.2721786150738916</v>
      </c>
      <c r="AV48" s="193">
        <f t="shared" si="67"/>
        <v>13381.683720234227</v>
      </c>
      <c r="AW48" s="27">
        <v>14336.907838359601</v>
      </c>
      <c r="AY48" s="255" t="s">
        <v>39</v>
      </c>
      <c r="AZ48" s="251">
        <f t="shared" si="75"/>
        <v>467.75252316204973</v>
      </c>
      <c r="BA48" s="251">
        <f t="shared" si="76"/>
        <v>4775.3070846989795</v>
      </c>
      <c r="BB48" s="251">
        <f t="shared" si="77"/>
        <v>793.56067410969308</v>
      </c>
      <c r="BC48" s="251">
        <f t="shared" si="78"/>
        <v>2206.4949567605145</v>
      </c>
      <c r="BD48" s="251">
        <f t="shared" si="79"/>
        <v>3377.0033903037679</v>
      </c>
      <c r="BE48" s="251">
        <f t="shared" si="80"/>
        <v>1792.4607817247793</v>
      </c>
      <c r="BF48" s="251">
        <f t="shared" si="71"/>
        <v>13412.579410759783</v>
      </c>
      <c r="BG48" s="64">
        <f t="shared" si="81"/>
        <v>13597.703797303748</v>
      </c>
      <c r="BH48" s="64">
        <f t="shared" si="68"/>
        <v>12944.826887597734</v>
      </c>
      <c r="BI48" s="64">
        <f t="shared" si="69"/>
        <v>8243.1152387312359</v>
      </c>
      <c r="BJ48" s="64">
        <f t="shared" si="73"/>
        <v>8335.5752281187488</v>
      </c>
      <c r="BK48" s="64">
        <f t="shared" si="70"/>
        <v>5169.4641720285472</v>
      </c>
      <c r="BL48" s="64">
        <f t="shared" si="74"/>
        <v>5262.1285691849998</v>
      </c>
    </row>
    <row r="49" spans="1:64" x14ac:dyDescent="0.25">
      <c r="A49" s="98" t="s">
        <v>40</v>
      </c>
      <c r="B49" s="220">
        <f>'Ingreso estructural no oil'!K48</f>
        <v>55398.9085569538</v>
      </c>
      <c r="C49" s="40">
        <f>'Ingreso estructural no oil'!L48</f>
        <v>54566.350000000006</v>
      </c>
      <c r="D49" s="12">
        <f t="shared" si="72"/>
        <v>1.0152577285626361</v>
      </c>
      <c r="E49" s="64">
        <f>'Ingreso estructural no oil'!N48</f>
        <v>64260.311000000002</v>
      </c>
      <c r="F49" s="12">
        <f t="shared" si="46"/>
        <v>2.7841230680525131E-2</v>
      </c>
      <c r="H49" s="98" t="s">
        <v>40</v>
      </c>
      <c r="I49" s="46">
        <f>SUM('Datos Gastos GC'!B49:B52)</f>
        <v>489.00699999999995</v>
      </c>
      <c r="J49" s="12">
        <f t="shared" si="47"/>
        <v>3.1451435996085131E-2</v>
      </c>
      <c r="K49" s="40">
        <f t="shared" si="48"/>
        <v>1.1296711828936976</v>
      </c>
      <c r="L49" s="64">
        <f t="shared" si="49"/>
        <v>497.4439317358748</v>
      </c>
      <c r="M49" s="27">
        <v>544.03628512796104</v>
      </c>
      <c r="N49" s="98" t="s">
        <v>40</v>
      </c>
      <c r="O49" s="46">
        <f>SUM('Datos Gastos GC'!E49:E52)</f>
        <v>4996.65982773</v>
      </c>
      <c r="P49" s="64">
        <f t="shared" si="50"/>
        <v>6.1351183228536721E-2</v>
      </c>
      <c r="Q49" s="64">
        <f t="shared" si="51"/>
        <v>2.2036088825431022</v>
      </c>
      <c r="R49" s="64">
        <f t="shared" si="52"/>
        <v>5166.2020340033523</v>
      </c>
      <c r="T49" s="98" t="s">
        <v>40</v>
      </c>
      <c r="U49" s="46">
        <f>SUM('Datos Gastos GC'!H49:H52)</f>
        <v>860.17605757999991</v>
      </c>
      <c r="V49" s="64">
        <f t="shared" si="53"/>
        <v>4.3914555433044677E-2</v>
      </c>
      <c r="W49" s="64">
        <f t="shared" si="54"/>
        <v>1.5773209143287907</v>
      </c>
      <c r="X49" s="64">
        <f t="shared" si="55"/>
        <v>880.96832198095058</v>
      </c>
      <c r="Z49" s="98" t="s">
        <v>40</v>
      </c>
      <c r="AA49" s="46">
        <f>SUM('Datos Gastos GC'!K49:K52)</f>
        <v>2088.2280638791453</v>
      </c>
      <c r="AB49" s="64">
        <f t="shared" si="56"/>
        <v>-0.10363375298741939</v>
      </c>
      <c r="AC49" s="64">
        <f t="shared" si="57"/>
        <v>-3.7223122130125854</v>
      </c>
      <c r="AD49" s="64">
        <f t="shared" si="58"/>
        <v>1973.7805749565166</v>
      </c>
      <c r="AF49" s="98" t="s">
        <v>40</v>
      </c>
      <c r="AG49" s="46">
        <f>SUM('Datos Gastos GC'!N49:N52)</f>
        <v>3459.1424263131275</v>
      </c>
      <c r="AH49" s="64">
        <f t="shared" si="59"/>
        <v>-1.3673410826284482E-2</v>
      </c>
      <c r="AI49" s="64">
        <f t="shared" si="60"/>
        <v>-0.49112092001913543</v>
      </c>
      <c r="AJ49" s="64">
        <f t="shared" si="61"/>
        <v>3433.5128998846249</v>
      </c>
      <c r="AK49" s="27">
        <v>3894.1646712871802</v>
      </c>
      <c r="AL49" s="98" t="s">
        <v>40</v>
      </c>
      <c r="AM49" s="46">
        <f>SUM('Datos Gastos GC'!Q49:Q52)</f>
        <v>1780.9590835094134</v>
      </c>
      <c r="AN49" s="64">
        <f t="shared" si="62"/>
        <v>1.4772897538683605E-2</v>
      </c>
      <c r="AO49" s="64">
        <f t="shared" si="63"/>
        <v>0.53061223148505454</v>
      </c>
      <c r="AP49" s="64">
        <f t="shared" si="64"/>
        <v>1795.3263677524556</v>
      </c>
      <c r="AQ49" s="27">
        <v>2036.0254286065899</v>
      </c>
      <c r="AR49" s="98" t="s">
        <v>40</v>
      </c>
      <c r="AS49" s="46">
        <f>SUM('Datos Gastos GC'!T49:T52)</f>
        <v>13674.172459011686</v>
      </c>
      <c r="AT49" s="64">
        <f t="shared" si="65"/>
        <v>5.6236452012654592E-3</v>
      </c>
      <c r="AU49" s="64">
        <f t="shared" si="66"/>
        <v>0.20198982098873899</v>
      </c>
      <c r="AV49" s="193">
        <f t="shared" si="67"/>
        <v>13716.060732742852</v>
      </c>
      <c r="AW49" s="27">
        <v>14797.775850792201</v>
      </c>
      <c r="AY49" s="255" t="s">
        <v>40</v>
      </c>
      <c r="AZ49" s="251">
        <f t="shared" si="75"/>
        <v>497.4439317358748</v>
      </c>
      <c r="BA49" s="251">
        <f t="shared" si="76"/>
        <v>5166.2020340033523</v>
      </c>
      <c r="BB49" s="251">
        <f t="shared" si="77"/>
        <v>880.96832198095058</v>
      </c>
      <c r="BC49" s="251">
        <f t="shared" si="78"/>
        <v>1973.7805749565166</v>
      </c>
      <c r="BD49" s="251">
        <f t="shared" si="79"/>
        <v>3433.5128998846249</v>
      </c>
      <c r="BE49" s="251">
        <f t="shared" si="80"/>
        <v>1795.3263677524556</v>
      </c>
      <c r="BF49" s="251">
        <f t="shared" si="71"/>
        <v>13747.234130313775</v>
      </c>
      <c r="BG49" s="64">
        <f t="shared" si="81"/>
        <v>13674.172459011686</v>
      </c>
      <c r="BH49" s="64">
        <f t="shared" si="68"/>
        <v>13249.790198577899</v>
      </c>
      <c r="BI49" s="64">
        <f t="shared" si="69"/>
        <v>8518.3948626766942</v>
      </c>
      <c r="BJ49" s="64">
        <f t="shared" si="73"/>
        <v>8434.0709491891448</v>
      </c>
      <c r="BK49" s="64">
        <f t="shared" si="70"/>
        <v>5228.8392676370804</v>
      </c>
      <c r="BL49" s="64">
        <f t="shared" si="74"/>
        <v>5240.1015098225407</v>
      </c>
    </row>
    <row r="50" spans="1:64" x14ac:dyDescent="0.25">
      <c r="A50" s="98" t="s">
        <v>41</v>
      </c>
      <c r="B50" s="220">
        <f>'Ingreso estructural no oil'!K49</f>
        <v>55924.147213813398</v>
      </c>
      <c r="C50" s="40">
        <f>'Ingreso estructural no oil'!L49</f>
        <v>54848.876000000004</v>
      </c>
      <c r="D50" s="12">
        <f t="shared" si="72"/>
        <v>1.0196042524884812</v>
      </c>
      <c r="E50" s="64">
        <f>'Ingreso estructural no oil'!N49</f>
        <v>65742.236999999994</v>
      </c>
      <c r="F50" s="12">
        <f t="shared" si="46"/>
        <v>2.3061295174870766E-2</v>
      </c>
      <c r="H50" s="98" t="s">
        <v>41</v>
      </c>
      <c r="I50" s="46">
        <f>SUM('Datos Gastos GC'!B50:B53)</f>
        <v>472.47399999999999</v>
      </c>
      <c r="J50" s="12">
        <f t="shared" si="47"/>
        <v>-3.3809331972752821E-2</v>
      </c>
      <c r="K50" s="40">
        <f t="shared" si="48"/>
        <v>-1.4660638839397833</v>
      </c>
      <c r="L50" s="64">
        <f t="shared" si="49"/>
        <v>459.21555910095657</v>
      </c>
      <c r="M50" s="27">
        <v>532.81404223643494</v>
      </c>
      <c r="N50" s="98" t="s">
        <v>41</v>
      </c>
      <c r="O50" s="46">
        <f>SUM('Datos Gastos GC'!E50:E53)</f>
        <v>5298.8847248700004</v>
      </c>
      <c r="P50" s="64">
        <f t="shared" si="50"/>
        <v>6.0485385749644349E-2</v>
      </c>
      <c r="Q50" s="64">
        <f t="shared" si="51"/>
        <v>2.6228095729659429</v>
      </c>
      <c r="R50" s="64">
        <f t="shared" si="52"/>
        <v>5575.6955624169195</v>
      </c>
      <c r="T50" s="98" t="s">
        <v>41</v>
      </c>
      <c r="U50" s="46">
        <f>SUM('Datos Gastos GC'!H50:H53)</f>
        <v>874.32180490000007</v>
      </c>
      <c r="V50" s="64">
        <f t="shared" si="53"/>
        <v>1.644517676973889E-2</v>
      </c>
      <c r="W50" s="64">
        <f t="shared" si="54"/>
        <v>0.71310724939936276</v>
      </c>
      <c r="X50" s="64">
        <f t="shared" si="55"/>
        <v>886.51067947448303</v>
      </c>
      <c r="Z50" s="98" t="s">
        <v>41</v>
      </c>
      <c r="AA50" s="46">
        <f>SUM('Datos Gastos GC'!K50:K53)</f>
        <v>2044.6618248583218</v>
      </c>
      <c r="AB50" s="64">
        <f t="shared" si="56"/>
        <v>-2.0862778244582048E-2</v>
      </c>
      <c r="AC50" s="64">
        <f t="shared" si="57"/>
        <v>-0.90466637222160962</v>
      </c>
      <c r="AD50" s="64">
        <f t="shared" si="58"/>
        <v>2009.0635250998241</v>
      </c>
      <c r="AF50" s="98" t="s">
        <v>41</v>
      </c>
      <c r="AG50" s="46">
        <f>SUM('Datos Gastos GC'!N50:N53)</f>
        <v>3902.765976419219</v>
      </c>
      <c r="AH50" s="64">
        <f t="shared" si="59"/>
        <v>0.12824668528578642</v>
      </c>
      <c r="AI50" s="64">
        <f t="shared" si="60"/>
        <v>5.5611224050214307</v>
      </c>
      <c r="AJ50" s="64">
        <f t="shared" si="61"/>
        <v>4347.723151957558</v>
      </c>
      <c r="AK50" s="27">
        <v>4021.4233381430599</v>
      </c>
      <c r="AL50" s="98" t="s">
        <v>41</v>
      </c>
      <c r="AM50" s="46">
        <f>SUM('Datos Gastos GC'!Q50:Q53)</f>
        <v>2044.6618248583218</v>
      </c>
      <c r="AN50" s="64">
        <f t="shared" si="62"/>
        <v>0.14806782693136178</v>
      </c>
      <c r="AO50" s="64">
        <f t="shared" si="63"/>
        <v>6.4206206029879471</v>
      </c>
      <c r="AP50" s="64">
        <f t="shared" si="64"/>
        <v>2316.1028339178893</v>
      </c>
      <c r="AQ50" s="27">
        <v>2172.1953413671199</v>
      </c>
      <c r="AR50" s="98" t="s">
        <v>41</v>
      </c>
      <c r="AS50" s="46">
        <f>SUM('Datos Gastos GC'!T50:T53)</f>
        <v>14637.770155905862</v>
      </c>
      <c r="AT50" s="64">
        <f t="shared" si="65"/>
        <v>7.0468446977874466E-2</v>
      </c>
      <c r="AU50" s="64">
        <f t="shared" si="66"/>
        <v>3.0557020515769606</v>
      </c>
      <c r="AV50" s="64">
        <f t="shared" si="67"/>
        <v>15532.43330421477</v>
      </c>
      <c r="AW50" s="27">
        <v>15279.7005065742</v>
      </c>
      <c r="AY50" s="255" t="s">
        <v>41</v>
      </c>
      <c r="AZ50" s="251">
        <f t="shared" si="75"/>
        <v>459.21555910095657</v>
      </c>
      <c r="BA50" s="251">
        <f t="shared" si="76"/>
        <v>5575.6955624169195</v>
      </c>
      <c r="BB50" s="251">
        <f t="shared" si="77"/>
        <v>886.51067947448303</v>
      </c>
      <c r="BC50" s="251">
        <f t="shared" si="78"/>
        <v>2009.0635250998241</v>
      </c>
      <c r="BD50" s="251">
        <f t="shared" si="79"/>
        <v>4347.723151957558</v>
      </c>
      <c r="BE50" s="251">
        <f t="shared" si="80"/>
        <v>2316.1028339178893</v>
      </c>
      <c r="BF50" s="251">
        <f t="shared" si="71"/>
        <v>15594.311311967631</v>
      </c>
      <c r="BG50" s="64">
        <f t="shared" si="81"/>
        <v>14637.770155905864</v>
      </c>
      <c r="BH50" s="64">
        <f t="shared" si="68"/>
        <v>15135.095752866675</v>
      </c>
      <c r="BI50" s="64">
        <f t="shared" si="69"/>
        <v>8930.4853260921846</v>
      </c>
      <c r="BJ50" s="64">
        <f t="shared" si="73"/>
        <v>8690.3423546283229</v>
      </c>
      <c r="BK50" s="64">
        <f t="shared" si="70"/>
        <v>6663.8259858754473</v>
      </c>
      <c r="BL50" s="64">
        <f t="shared" si="74"/>
        <v>5947.4278012775412</v>
      </c>
    </row>
    <row r="51" spans="1:64" x14ac:dyDescent="0.25">
      <c r="A51" s="98" t="s">
        <v>42</v>
      </c>
      <c r="B51" s="220">
        <f>'Ingreso estructural no oil'!K50</f>
        <v>56533.932553473802</v>
      </c>
      <c r="C51" s="40">
        <f>'Ingreso estructural no oil'!L50</f>
        <v>55445.262000000002</v>
      </c>
      <c r="D51" s="12">
        <f t="shared" si="72"/>
        <v>1.0196350511153469</v>
      </c>
      <c r="E51" s="64">
        <f>'Ingreso estructural no oil'!N50</f>
        <v>67391.617999999988</v>
      </c>
      <c r="F51" s="12">
        <f t="shared" si="46"/>
        <v>2.5088604758003452E-2</v>
      </c>
      <c r="H51" s="98" t="s">
        <v>42</v>
      </c>
      <c r="I51" s="46">
        <f>SUM('Datos Gastos GC'!B51:B54)</f>
        <v>486.40800000000002</v>
      </c>
      <c r="J51" s="12">
        <f t="shared" si="47"/>
        <v>2.9491569906492154E-2</v>
      </c>
      <c r="K51" s="40">
        <f t="shared" si="48"/>
        <v>1.1754966125441522</v>
      </c>
      <c r="L51" s="64">
        <f t="shared" si="49"/>
        <v>497.65399154335461</v>
      </c>
      <c r="M51" s="27">
        <v>531.74461534122599</v>
      </c>
      <c r="N51" s="98" t="s">
        <v>42</v>
      </c>
      <c r="O51" s="46">
        <f>SUM('Datos Gastos GC'!E51:E54)</f>
        <v>5576.9655599500002</v>
      </c>
      <c r="P51" s="64">
        <f t="shared" si="50"/>
        <v>5.2479125234569546E-2</v>
      </c>
      <c r="Q51" s="64">
        <f t="shared" si="51"/>
        <v>2.0917514441622473</v>
      </c>
      <c r="R51" s="64">
        <f t="shared" si="52"/>
        <v>5808.477267284652</v>
      </c>
      <c r="T51" s="98" t="s">
        <v>42</v>
      </c>
      <c r="U51" s="46">
        <f>SUM('Datos Gastos GC'!H51:H54)</f>
        <v>963.79955843000005</v>
      </c>
      <c r="V51" s="64">
        <f t="shared" si="53"/>
        <v>0.10233961114607437</v>
      </c>
      <c r="W51" s="64">
        <f t="shared" si="54"/>
        <v>4.0791272425552991</v>
      </c>
      <c r="X51" s="64">
        <f t="shared" si="55"/>
        <v>1043.3594620992117</v>
      </c>
      <c r="Z51" s="98" t="s">
        <v>42</v>
      </c>
      <c r="AA51" s="46">
        <f>SUM('Datos Gastos GC'!K51:K54)</f>
        <v>2058.3415121993557</v>
      </c>
      <c r="AB51" s="64">
        <f t="shared" si="56"/>
        <v>6.6904400398739572E-3</v>
      </c>
      <c r="AC51" s="64">
        <f t="shared" si="57"/>
        <v>0.26667246363071095</v>
      </c>
      <c r="AD51" s="64">
        <f t="shared" si="58"/>
        <v>2069.0425254211304</v>
      </c>
      <c r="AF51" s="98" t="s">
        <v>42</v>
      </c>
      <c r="AG51" s="46">
        <f>SUM('Datos Gastos GC'!N51:N54)</f>
        <v>3887.446142188368</v>
      </c>
      <c r="AH51" s="64">
        <f t="shared" si="59"/>
        <v>-3.9253786477114749E-3</v>
      </c>
      <c r="AI51" s="64">
        <f t="shared" si="60"/>
        <v>-0.15646061969465438</v>
      </c>
      <c r="AJ51" s="64">
        <f t="shared" si="61"/>
        <v>3875.6371787248977</v>
      </c>
      <c r="AK51" s="27">
        <v>4164.6711780587302</v>
      </c>
      <c r="AL51" s="98" t="s">
        <v>42</v>
      </c>
      <c r="AM51" s="46">
        <f>SUM('Datos Gastos GC'!Q51:Q54)</f>
        <v>2287.0746083591725</v>
      </c>
      <c r="AN51" s="64">
        <f t="shared" si="62"/>
        <v>0.11855886413766648</v>
      </c>
      <c r="AO51" s="64">
        <f t="shared" si="63"/>
        <v>4.7256061180462936</v>
      </c>
      <c r="AP51" s="64">
        <f t="shared" si="64"/>
        <v>2507.1881408404747</v>
      </c>
      <c r="AQ51" s="27">
        <v>2308.23999941377</v>
      </c>
      <c r="AR51" s="98" t="s">
        <v>42</v>
      </c>
      <c r="AS51" s="46">
        <f>SUM('Datos Gastos GC'!T51:T54)</f>
        <v>15260.035381126896</v>
      </c>
      <c r="AT51" s="64">
        <f t="shared" si="65"/>
        <v>4.2510930189047169E-2</v>
      </c>
      <c r="AU51" s="64">
        <f t="shared" si="66"/>
        <v>1.6944318187118741</v>
      </c>
      <c r="AV51" s="64">
        <f t="shared" si="67"/>
        <v>15771.195109276727</v>
      </c>
      <c r="AW51" s="27">
        <v>15791.4025165068</v>
      </c>
      <c r="AY51" s="255" t="s">
        <v>42</v>
      </c>
      <c r="AZ51" s="251">
        <f t="shared" si="75"/>
        <v>497.65399154335461</v>
      </c>
      <c r="BA51" s="251">
        <f t="shared" si="76"/>
        <v>5808.477267284652</v>
      </c>
      <c r="BB51" s="251">
        <f t="shared" si="77"/>
        <v>1043.3594620992117</v>
      </c>
      <c r="BC51" s="251">
        <f t="shared" si="78"/>
        <v>2069.0425254211304</v>
      </c>
      <c r="BD51" s="251">
        <f t="shared" si="79"/>
        <v>3875.6371787248977</v>
      </c>
      <c r="BE51" s="251">
        <f t="shared" si="80"/>
        <v>2507.1881408404747</v>
      </c>
      <c r="BF51" s="251">
        <f t="shared" si="71"/>
        <v>15801.358565913722</v>
      </c>
      <c r="BG51" s="64">
        <f t="shared" si="81"/>
        <v>15260.035381126898</v>
      </c>
      <c r="BH51" s="64">
        <f t="shared" si="68"/>
        <v>15303.704574370367</v>
      </c>
      <c r="BI51" s="64">
        <f t="shared" si="69"/>
        <v>9418.5332463483501</v>
      </c>
      <c r="BJ51" s="64">
        <f t="shared" si="73"/>
        <v>9085.5146305793569</v>
      </c>
      <c r="BK51" s="64">
        <f t="shared" si="70"/>
        <v>6382.8253195653724</v>
      </c>
      <c r="BL51" s="64">
        <f t="shared" si="74"/>
        <v>6174.520750547541</v>
      </c>
    </row>
    <row r="52" spans="1:64" x14ac:dyDescent="0.25">
      <c r="A52" s="98" t="s">
        <v>43</v>
      </c>
      <c r="B52" s="220">
        <f>'Ingreso estructural no oil'!K51</f>
        <v>57232.121835457103</v>
      </c>
      <c r="C52" s="40">
        <f>'Ingreso estructural no oil'!L51</f>
        <v>56481.055</v>
      </c>
      <c r="D52" s="12">
        <f t="shared" si="72"/>
        <v>1.013297677167275</v>
      </c>
      <c r="E52" s="64">
        <f>'Ingreso estructural no oil'!N51</f>
        <v>69555.366999999998</v>
      </c>
      <c r="F52" s="12">
        <f t="shared" si="46"/>
        <v>3.2107093793177777E-2</v>
      </c>
      <c r="H52" s="98" t="s">
        <v>43</v>
      </c>
      <c r="I52" s="46">
        <f>SUM('Datos Gastos GC'!B52:B55)</f>
        <v>529.78500000000008</v>
      </c>
      <c r="J52" s="12">
        <f t="shared" si="47"/>
        <v>8.9178220752948345E-2</v>
      </c>
      <c r="K52" s="40">
        <f t="shared" si="48"/>
        <v>2.7775239119243249</v>
      </c>
      <c r="L52" s="64">
        <f t="shared" si="49"/>
        <v>549.58445890863766</v>
      </c>
      <c r="M52" s="27">
        <v>540.395535965112</v>
      </c>
      <c r="N52" s="98" t="s">
        <v>43</v>
      </c>
      <c r="O52" s="46">
        <f>SUM('Datos Gastos GC'!E52:E55)</f>
        <v>6017.1715795999999</v>
      </c>
      <c r="P52" s="64">
        <f t="shared" si="50"/>
        <v>7.8932891895776125E-2</v>
      </c>
      <c r="Q52" s="64">
        <f t="shared" si="51"/>
        <v>2.4584253063897066</v>
      </c>
      <c r="R52" s="64">
        <f t="shared" si="52"/>
        <v>6215.7923458967698</v>
      </c>
      <c r="T52" s="98" t="s">
        <v>43</v>
      </c>
      <c r="U52" s="46">
        <f>SUM('Datos Gastos GC'!H52:H55)</f>
        <v>1094.5687495100001</v>
      </c>
      <c r="V52" s="64">
        <f t="shared" si="53"/>
        <v>0.13568089955656237</v>
      </c>
      <c r="W52" s="64">
        <f t="shared" si="54"/>
        <v>4.2258854205419336</v>
      </c>
      <c r="X52" s="64">
        <f t="shared" si="55"/>
        <v>1157.4097814788729</v>
      </c>
      <c r="Z52" s="98" t="s">
        <v>43</v>
      </c>
      <c r="AA52" s="46">
        <f>SUM('Datos Gastos GC'!K52:K55)</f>
        <v>2193.2572277487989</v>
      </c>
      <c r="AB52" s="64">
        <f t="shared" si="56"/>
        <v>6.5545836174330629E-2</v>
      </c>
      <c r="AC52" s="64">
        <f t="shared" si="57"/>
        <v>2.0414752140618231</v>
      </c>
      <c r="AD52" s="64">
        <f t="shared" si="58"/>
        <v>2253.2096817605379</v>
      </c>
      <c r="AF52" s="98" t="s">
        <v>43</v>
      </c>
      <c r="AG52" s="46">
        <f>SUM('Datos Gastos GC'!N52:N55)</f>
        <v>3896.083098933666</v>
      </c>
      <c r="AH52" s="64">
        <f t="shared" si="59"/>
        <v>2.2217559882220517E-3</v>
      </c>
      <c r="AI52" s="64">
        <f t="shared" si="60"/>
        <v>6.9198290026926637E-2</v>
      </c>
      <c r="AJ52" s="64">
        <f t="shared" si="61"/>
        <v>3899.6461839911212</v>
      </c>
      <c r="AK52" s="27">
        <v>4331.1173101305803</v>
      </c>
      <c r="AL52" s="98" t="s">
        <v>43</v>
      </c>
      <c r="AM52" s="46">
        <f>SUM('Datos Gastos GC'!Q52:Q55)</f>
        <v>2535.5911595038742</v>
      </c>
      <c r="AN52" s="64">
        <f t="shared" si="62"/>
        <v>0.1086613223007169</v>
      </c>
      <c r="AO52" s="64">
        <f t="shared" si="63"/>
        <v>3.3843400153459426</v>
      </c>
      <c r="AP52" s="64">
        <f t="shared" si="64"/>
        <v>2651.5226844529093</v>
      </c>
      <c r="AQ52" s="27">
        <v>2438.1160155889702</v>
      </c>
      <c r="AR52" s="98" t="s">
        <v>43</v>
      </c>
      <c r="AS52" s="46">
        <f>SUM('Datos Gastos GC'!T52:T55)</f>
        <v>16266.45681529634</v>
      </c>
      <c r="AT52" s="64">
        <f t="shared" si="65"/>
        <v>6.5951448278694924E-2</v>
      </c>
      <c r="AU52" s="64">
        <f t="shared" si="66"/>
        <v>2.0541083133693188</v>
      </c>
      <c r="AV52" s="64">
        <f t="shared" si="67"/>
        <v>16713.887732707499</v>
      </c>
      <c r="AW52" s="27">
        <v>16335.1855863254</v>
      </c>
      <c r="AY52" s="255" t="s">
        <v>43</v>
      </c>
      <c r="AZ52" s="251">
        <f t="shared" si="75"/>
        <v>549.58445890863766</v>
      </c>
      <c r="BA52" s="251">
        <f t="shared" si="76"/>
        <v>6215.7923458967698</v>
      </c>
      <c r="BB52" s="251">
        <f t="shared" si="77"/>
        <v>1157.4097814788729</v>
      </c>
      <c r="BC52" s="251">
        <f t="shared" si="78"/>
        <v>2253.2096817605379</v>
      </c>
      <c r="BD52" s="251">
        <f t="shared" si="79"/>
        <v>3899.6461839911212</v>
      </c>
      <c r="BE52" s="251">
        <f t="shared" si="80"/>
        <v>2651.5226844529093</v>
      </c>
      <c r="BF52" s="251">
        <f t="shared" si="71"/>
        <v>16727.165136488849</v>
      </c>
      <c r="BG52" s="64">
        <f t="shared" si="81"/>
        <v>16266.456815296338</v>
      </c>
      <c r="BH52" s="64">
        <f t="shared" si="68"/>
        <v>16177.580677580212</v>
      </c>
      <c r="BI52" s="64">
        <f t="shared" si="69"/>
        <v>10175.996268044819</v>
      </c>
      <c r="BJ52" s="64">
        <f t="shared" si="73"/>
        <v>9834.7825568587978</v>
      </c>
      <c r="BK52" s="64">
        <f t="shared" si="70"/>
        <v>6551.1688684440305</v>
      </c>
      <c r="BL52" s="64">
        <f t="shared" si="74"/>
        <v>6431.6742584375406</v>
      </c>
    </row>
    <row r="53" spans="1:64" x14ac:dyDescent="0.25">
      <c r="A53" s="98" t="s">
        <v>44</v>
      </c>
      <c r="B53" s="220">
        <f>'Ingreso estructural no oil'!K52</f>
        <v>58011.685993750601</v>
      </c>
      <c r="C53" s="40">
        <f>'Ingreso estructural no oil'!L52</f>
        <v>57541.603999999999</v>
      </c>
      <c r="D53" s="12">
        <f t="shared" si="72"/>
        <v>1.0081694280498437</v>
      </c>
      <c r="E53" s="64">
        <f>'Ingreso estructural no oil'!N52</f>
        <v>71715.694000000003</v>
      </c>
      <c r="F53" s="12">
        <f t="shared" si="46"/>
        <v>3.1059098573946287E-2</v>
      </c>
      <c r="H53" s="98" t="s">
        <v>44</v>
      </c>
      <c r="I53" s="46">
        <f>SUM('Datos Gastos GC'!B53:B56)</f>
        <v>548.79433618000007</v>
      </c>
      <c r="J53" s="12">
        <f t="shared" si="47"/>
        <v>3.5881227630076395E-2</v>
      </c>
      <c r="K53" s="40">
        <f t="shared" si="48"/>
        <v>1.1552565682049485</v>
      </c>
      <c r="L53" s="64">
        <f t="shared" si="49"/>
        <v>553.97701650027977</v>
      </c>
      <c r="M53" s="27">
        <v>557.87688947745903</v>
      </c>
      <c r="N53" s="98" t="s">
        <v>44</v>
      </c>
      <c r="O53" s="46">
        <f>SUM('Datos Gastos GC'!E53:E56)</f>
        <v>6016.4849209900003</v>
      </c>
      <c r="P53" s="64">
        <f t="shared" si="50"/>
        <v>-1.1411650821580022E-4</v>
      </c>
      <c r="Q53" s="64">
        <f t="shared" si="51"/>
        <v>-3.6741732199377505E-3</v>
      </c>
      <c r="R53" s="64">
        <f t="shared" si="52"/>
        <v>6016.3050671722312</v>
      </c>
      <c r="T53" s="98" t="s">
        <v>44</v>
      </c>
      <c r="U53" s="46">
        <f>SUM('Datos Gastos GC'!H53:H56)</f>
        <v>1145.0758600700001</v>
      </c>
      <c r="V53" s="40">
        <f t="shared" si="53"/>
        <v>4.6143388053615064E-2</v>
      </c>
      <c r="W53" s="64">
        <f t="shared" si="54"/>
        <v>1.4856641104298542</v>
      </c>
      <c r="X53" s="64">
        <f t="shared" si="55"/>
        <v>1159.0012075963132</v>
      </c>
      <c r="Z53" s="98" t="s">
        <v>44</v>
      </c>
      <c r="AA53" s="46">
        <f>SUM('Datos Gastos GC'!K53:K56)</f>
        <v>2263.1632297229698</v>
      </c>
      <c r="AB53" s="64">
        <f t="shared" si="56"/>
        <v>3.1873143327526554E-2</v>
      </c>
      <c r="AC53" s="64">
        <f t="shared" si="57"/>
        <v>1.0262095421617652</v>
      </c>
      <c r="AD53" s="64">
        <f t="shared" si="58"/>
        <v>2282.138586435367</v>
      </c>
      <c r="AF53" s="98" t="s">
        <v>44</v>
      </c>
      <c r="AG53" s="46">
        <f>SUM('Datos Gastos GC'!N53:N56)</f>
        <v>4520.8092631766813</v>
      </c>
      <c r="AH53" s="64">
        <f t="shared" si="59"/>
        <v>0.16034723807970086</v>
      </c>
      <c r="AI53" s="64">
        <f t="shared" si="60"/>
        <v>5.1626494470836652</v>
      </c>
      <c r="AJ53" s="64">
        <f t="shared" si="61"/>
        <v>4714.7484687959404</v>
      </c>
      <c r="AK53" s="27">
        <v>4525.1941416743803</v>
      </c>
      <c r="AL53" s="98" t="s">
        <v>44</v>
      </c>
      <c r="AM53" s="46">
        <f>SUM('Datos Gastos GC'!Q53:Q56)</f>
        <v>2984.6519773444616</v>
      </c>
      <c r="AN53" s="64">
        <f t="shared" si="62"/>
        <v>0.1771030065937178</v>
      </c>
      <c r="AO53" s="64">
        <f t="shared" si="63"/>
        <v>5.7021296407578115</v>
      </c>
      <c r="AP53" s="64">
        <f t="shared" si="64"/>
        <v>3126.3839169505536</v>
      </c>
      <c r="AQ53" s="27">
        <v>2555.567602741</v>
      </c>
      <c r="AR53" s="98" t="s">
        <v>44</v>
      </c>
      <c r="AS53" s="46">
        <f>SUM('Datos Gastos GC'!T53:T56)</f>
        <v>17478.979587484115</v>
      </c>
      <c r="AT53" s="64">
        <f t="shared" si="65"/>
        <v>7.4541295990628198E-2</v>
      </c>
      <c r="AU53" s="64">
        <f t="shared" si="66"/>
        <v>2.3999825948959335</v>
      </c>
      <c r="AV53" s="64">
        <f t="shared" si="67"/>
        <v>17823.642820288427</v>
      </c>
      <c r="AW53" s="27">
        <v>16908.039396600401</v>
      </c>
      <c r="AY53" s="255" t="s">
        <v>44</v>
      </c>
      <c r="AZ53" s="251">
        <f t="shared" si="75"/>
        <v>553.97701650027977</v>
      </c>
      <c r="BA53" s="251">
        <f t="shared" si="76"/>
        <v>6016.3050671722312</v>
      </c>
      <c r="BB53" s="251">
        <f t="shared" si="77"/>
        <v>1159.0012075963132</v>
      </c>
      <c r="BC53" s="251">
        <f t="shared" si="78"/>
        <v>2282.138586435367</v>
      </c>
      <c r="BD53" s="251">
        <f t="shared" si="79"/>
        <v>4714.7484687959404</v>
      </c>
      <c r="BE53" s="251">
        <f t="shared" si="80"/>
        <v>3126.3839169505536</v>
      </c>
      <c r="BF53" s="251">
        <f t="shared" si="71"/>
        <v>17852.554263450686</v>
      </c>
      <c r="BG53" s="64">
        <f t="shared" si="81"/>
        <v>17478.979587484115</v>
      </c>
      <c r="BH53" s="64">
        <f t="shared" si="68"/>
        <v>17298.577246950405</v>
      </c>
      <c r="BI53" s="64">
        <f t="shared" si="69"/>
        <v>10011.421877704192</v>
      </c>
      <c r="BJ53" s="64">
        <f t="shared" si="73"/>
        <v>9973.5183469629701</v>
      </c>
      <c r="BK53" s="64">
        <f t="shared" si="70"/>
        <v>7841.132385746494</v>
      </c>
      <c r="BL53" s="64">
        <f t="shared" si="74"/>
        <v>7505.4612405211428</v>
      </c>
    </row>
    <row r="54" spans="1:64" x14ac:dyDescent="0.25">
      <c r="A54" s="98" t="s">
        <v>45</v>
      </c>
      <c r="B54" s="220">
        <f>'Ingreso estructural no oil'!K53</f>
        <v>58858.085743987001</v>
      </c>
      <c r="C54" s="40">
        <f>'Ingreso estructural no oil'!L53</f>
        <v>58772.089</v>
      </c>
      <c r="D54" s="12">
        <f t="shared" si="72"/>
        <v>1.0014632242183361</v>
      </c>
      <c r="E54" s="64">
        <f>'Ingreso estructural no oil'!N53</f>
        <v>74373.013000000006</v>
      </c>
      <c r="F54" s="12">
        <f t="shared" si="46"/>
        <v>3.7053521367303555E-2</v>
      </c>
      <c r="H54" s="98" t="s">
        <v>45</v>
      </c>
      <c r="I54" s="46">
        <f>SUM('Datos Gastos GC'!B54:B57)</f>
        <v>617.37691574999997</v>
      </c>
      <c r="J54" s="12">
        <f t="shared" si="47"/>
        <v>0.12496954696614315</v>
      </c>
      <c r="K54" s="40">
        <f t="shared" si="48"/>
        <v>3.3726766675519722</v>
      </c>
      <c r="L54" s="64">
        <f t="shared" si="49"/>
        <v>620.42895214831253</v>
      </c>
      <c r="M54" s="27">
        <v>583.19480588798206</v>
      </c>
      <c r="N54" s="98" t="s">
        <v>45</v>
      </c>
      <c r="O54" s="46">
        <f>SUM('Datos Gastos GC'!E54:E57)</f>
        <v>6271.5437782099998</v>
      </c>
      <c r="P54" s="64">
        <f t="shared" si="50"/>
        <v>4.2393334408628469E-2</v>
      </c>
      <c r="Q54" s="64">
        <f t="shared" si="51"/>
        <v>1.1441108117199577</v>
      </c>
      <c r="R54" s="64">
        <f t="shared" si="52"/>
        <v>6282.0440174942178</v>
      </c>
      <c r="T54" s="98" t="s">
        <v>45</v>
      </c>
      <c r="U54" s="46">
        <f>SUM('Datos Gastos GC'!H54:H57)</f>
        <v>1218.0651505699998</v>
      </c>
      <c r="V54" s="40">
        <f t="shared" si="53"/>
        <v>6.3741882127824834E-2</v>
      </c>
      <c r="W54" s="64">
        <f t="shared" si="54"/>
        <v>1.7202651671339229</v>
      </c>
      <c r="X54" s="64">
        <f t="shared" si="55"/>
        <v>1221.1327987939924</v>
      </c>
      <c r="Z54" s="98" t="s">
        <v>45</v>
      </c>
      <c r="AA54" s="46">
        <f>SUM('Datos Gastos GC'!K54:K57)</f>
        <v>2058.6576876699414</v>
      </c>
      <c r="AB54" s="64">
        <f t="shared" si="56"/>
        <v>-9.0362700916655325E-2</v>
      </c>
      <c r="AC54" s="64">
        <f t="shared" si="57"/>
        <v>-2.4387075123281643</v>
      </c>
      <c r="AD54" s="64">
        <f t="shared" si="58"/>
        <v>2051.3300645024051</v>
      </c>
      <c r="AF54" s="98" t="s">
        <v>45</v>
      </c>
      <c r="AG54" s="46">
        <f>SUM('Datos Gastos GC'!N54:N57)</f>
        <v>4424.2948213167329</v>
      </c>
      <c r="AH54" s="64">
        <f t="shared" si="59"/>
        <v>-2.1348930300175928E-2</v>
      </c>
      <c r="AI54" s="64">
        <f t="shared" si="60"/>
        <v>-0.57616468050495373</v>
      </c>
      <c r="AJ54" s="64">
        <f t="shared" si="61"/>
        <v>4420.5691794150362</v>
      </c>
      <c r="AK54" s="27">
        <v>4746.98290690461</v>
      </c>
      <c r="AL54" s="98" t="s">
        <v>45</v>
      </c>
      <c r="AM54" s="46">
        <f>SUM('Datos Gastos GC'!Q54:Q57)</f>
        <v>3040.8061886255527</v>
      </c>
      <c r="AN54" s="64">
        <f t="shared" si="62"/>
        <v>1.8814324654043313E-2</v>
      </c>
      <c r="AO54" s="64">
        <f t="shared" si="63"/>
        <v>0.50776077305962297</v>
      </c>
      <c r="AP54" s="64">
        <f t="shared" si="64"/>
        <v>3043.0645968753734</v>
      </c>
      <c r="AQ54" s="27">
        <v>2655.3178135622802</v>
      </c>
      <c r="AR54" s="98" t="s">
        <v>45</v>
      </c>
      <c r="AS54" s="46">
        <f>SUM('Datos Gastos GC'!T54:T57)</f>
        <v>17630.744542142227</v>
      </c>
      <c r="AT54" s="64">
        <f t="shared" si="65"/>
        <v>8.6827125060997545E-3</v>
      </c>
      <c r="AU54" s="64">
        <f t="shared" si="66"/>
        <v>0.23432894326101697</v>
      </c>
      <c r="AV54" s="64">
        <f t="shared" si="67"/>
        <v>17636.786314087531</v>
      </c>
      <c r="AW54" s="27">
        <v>17506.261772038801</v>
      </c>
      <c r="AY54" s="255" t="s">
        <v>45</v>
      </c>
      <c r="AZ54" s="251">
        <f t="shared" si="75"/>
        <v>620.42895214831253</v>
      </c>
      <c r="BA54" s="251">
        <f t="shared" si="76"/>
        <v>6282.0440174942178</v>
      </c>
      <c r="BB54" s="251">
        <f t="shared" si="77"/>
        <v>1221.1327987939924</v>
      </c>
      <c r="BC54" s="251">
        <f t="shared" si="78"/>
        <v>2051.3300645024051</v>
      </c>
      <c r="BD54" s="251">
        <f t="shared" si="79"/>
        <v>4420.5691794150362</v>
      </c>
      <c r="BE54" s="251">
        <f t="shared" si="80"/>
        <v>3043.0645968753734</v>
      </c>
      <c r="BF54" s="251">
        <f t="shared" si="71"/>
        <v>17638.569609229336</v>
      </c>
      <c r="BG54" s="64">
        <f t="shared" si="81"/>
        <v>17630.744542142227</v>
      </c>
      <c r="BH54" s="64">
        <f t="shared" si="68"/>
        <v>17018.140657081025</v>
      </c>
      <c r="BI54" s="64">
        <f t="shared" si="69"/>
        <v>10174.935832938927</v>
      </c>
      <c r="BJ54" s="64">
        <f t="shared" si="73"/>
        <v>10165.643532199942</v>
      </c>
      <c r="BK54" s="64">
        <f t="shared" si="70"/>
        <v>7463.6337762904095</v>
      </c>
      <c r="BL54" s="64">
        <f t="shared" si="74"/>
        <v>7465.1010099422856</v>
      </c>
    </row>
    <row r="55" spans="1:64" x14ac:dyDescent="0.25">
      <c r="A55" s="98" t="s">
        <v>46</v>
      </c>
      <c r="B55" s="220">
        <f>'Ingreso estructural no oil'!K54</f>
        <v>59752.080941861503</v>
      </c>
      <c r="C55" s="40">
        <f>'Ingreso estructural no oil'!L54</f>
        <v>60005.301000000007</v>
      </c>
      <c r="D55" s="12">
        <f t="shared" si="72"/>
        <v>0.99578003853128738</v>
      </c>
      <c r="E55" s="64">
        <f>'Ingreso estructural no oil'!N54</f>
        <v>76912.125</v>
      </c>
      <c r="F55" s="12">
        <f t="shared" si="46"/>
        <v>3.4140233097723183E-2</v>
      </c>
      <c r="H55" s="98" t="s">
        <v>46</v>
      </c>
      <c r="I55" s="46">
        <f>SUM('Datos Gastos GC'!B55:B58)</f>
        <v>629.10499443000003</v>
      </c>
      <c r="J55" s="12">
        <f t="shared" si="47"/>
        <v>1.8996626502875591E-2</v>
      </c>
      <c r="K55" s="40">
        <f t="shared" si="48"/>
        <v>0.55642931460073952</v>
      </c>
      <c r="L55" s="64">
        <f t="shared" si="49"/>
        <v>627.62640116175999</v>
      </c>
      <c r="M55" s="27">
        <v>615.26664631162203</v>
      </c>
      <c r="N55" s="98" t="s">
        <v>46</v>
      </c>
      <c r="O55" s="46">
        <f>SUM('Datos Gastos GC'!E55:E58)</f>
        <v>6410.8734061200003</v>
      </c>
      <c r="P55" s="12">
        <f t="shared" si="50"/>
        <v>2.2216161257470723E-2</v>
      </c>
      <c r="Q55" s="40">
        <f t="shared" si="51"/>
        <v>0.65073255926165086</v>
      </c>
      <c r="R55" s="64">
        <f t="shared" si="52"/>
        <v>6393.2557241223403</v>
      </c>
      <c r="T55" s="98" t="s">
        <v>46</v>
      </c>
      <c r="U55" s="46">
        <f>SUM('Datos Gastos GC'!H55:H58)</f>
        <v>1263.4152654299999</v>
      </c>
      <c r="V55" s="40">
        <f t="shared" si="53"/>
        <v>3.7231271938761523E-2</v>
      </c>
      <c r="W55" s="64">
        <f t="shared" si="54"/>
        <v>1.090539476757248</v>
      </c>
      <c r="X55" s="64">
        <f t="shared" si="55"/>
        <v>1257.6020968636421</v>
      </c>
      <c r="Z55" s="98" t="s">
        <v>46</v>
      </c>
      <c r="AA55" s="46">
        <f>SUM('Datos Gastos GC'!K55:K58)</f>
        <v>2036.7863677208552</v>
      </c>
      <c r="AB55" s="64">
        <f t="shared" si="56"/>
        <v>-1.0624068333497938E-2</v>
      </c>
      <c r="AC55" s="64">
        <f t="shared" si="57"/>
        <v>-0.3111890977161037</v>
      </c>
      <c r="AD55" s="64">
        <f t="shared" si="58"/>
        <v>2039.4685117820336</v>
      </c>
      <c r="AF55" s="98" t="s">
        <v>46</v>
      </c>
      <c r="AG55" s="46">
        <f>SUM('Datos Gastos GC'!N55:N58)</f>
        <v>4793.2958419008664</v>
      </c>
      <c r="AH55" s="64">
        <f t="shared" si="59"/>
        <v>8.3403352508573114E-2</v>
      </c>
      <c r="AI55" s="64">
        <f t="shared" si="60"/>
        <v>2.4429637685788177</v>
      </c>
      <c r="AJ55" s="64">
        <f t="shared" si="61"/>
        <v>4744.031090933765</v>
      </c>
      <c r="AK55" s="27">
        <v>4996.5228986190104</v>
      </c>
      <c r="AL55" s="98" t="s">
        <v>46</v>
      </c>
      <c r="AM55" s="46">
        <f>SUM('Datos Gastos GC'!Q55:Q58)</f>
        <v>2943.0020704947019</v>
      </c>
      <c r="AN55" s="64">
        <f t="shared" si="62"/>
        <v>-3.2163877624525106E-2</v>
      </c>
      <c r="AO55" s="64">
        <f t="shared" si="63"/>
        <v>-0.942110662585667</v>
      </c>
      <c r="AP55" s="64">
        <f t="shared" si="64"/>
        <v>2954.7506229543164</v>
      </c>
      <c r="AQ55" s="27">
        <v>2736.3840247178</v>
      </c>
      <c r="AR55" s="98" t="s">
        <v>46</v>
      </c>
      <c r="AS55" s="46">
        <f>SUM('Datos Gastos GC'!T55:T58)</f>
        <v>18076.477946096424</v>
      </c>
      <c r="AT55" s="64">
        <f t="shared" si="65"/>
        <v>2.5281598453699594E-2</v>
      </c>
      <c r="AU55" s="64">
        <f t="shared" si="66"/>
        <v>0.74052213941637168</v>
      </c>
      <c r="AV55" s="64">
        <f t="shared" si="67"/>
        <v>18019.958424304416</v>
      </c>
      <c r="AW55" s="27">
        <v>18131.8601433818</v>
      </c>
      <c r="AY55" s="255" t="s">
        <v>46</v>
      </c>
      <c r="AZ55" s="251">
        <f t="shared" si="75"/>
        <v>627.62640116175999</v>
      </c>
      <c r="BA55" s="251">
        <f t="shared" si="76"/>
        <v>6393.2557241223403</v>
      </c>
      <c r="BB55" s="251">
        <f t="shared" si="77"/>
        <v>1257.6020968636421</v>
      </c>
      <c r="BC55" s="251">
        <f t="shared" si="78"/>
        <v>2039.4685117820336</v>
      </c>
      <c r="BD55" s="251">
        <f t="shared" si="79"/>
        <v>4744.031090933765</v>
      </c>
      <c r="BE55" s="251">
        <f t="shared" si="80"/>
        <v>2954.7506229543164</v>
      </c>
      <c r="BF55" s="251">
        <f t="shared" si="71"/>
        <v>18016.73444781786</v>
      </c>
      <c r="BG55" s="64">
        <f t="shared" si="81"/>
        <v>18076.477946096424</v>
      </c>
      <c r="BH55" s="64">
        <f t="shared" si="68"/>
        <v>17389.1080466561</v>
      </c>
      <c r="BI55" s="64">
        <f t="shared" si="69"/>
        <v>10317.952733929777</v>
      </c>
      <c r="BJ55" s="64">
        <f t="shared" si="73"/>
        <v>10340.180033700855</v>
      </c>
      <c r="BK55" s="64">
        <f t="shared" si="70"/>
        <v>7698.7817138880819</v>
      </c>
      <c r="BL55" s="64">
        <f t="shared" si="74"/>
        <v>7736.2979123955683</v>
      </c>
    </row>
    <row r="56" spans="1:64" x14ac:dyDescent="0.25">
      <c r="A56" s="98" t="s">
        <v>47</v>
      </c>
      <c r="B56" s="220">
        <f>'Ingreso estructural no oil'!K55</f>
        <v>60673.571585629797</v>
      </c>
      <c r="C56" s="40">
        <f>'Ingreso estructural no oil'!L55</f>
        <v>60925.063999999998</v>
      </c>
      <c r="D56" s="12">
        <f t="shared" si="72"/>
        <v>0.99587210258211301</v>
      </c>
      <c r="E56" s="64">
        <f>'Ingreso estructural no oil'!N55</f>
        <v>79276.664000000004</v>
      </c>
      <c r="F56" s="12">
        <f t="shared" si="46"/>
        <v>3.0743384089309878E-2</v>
      </c>
      <c r="H56" s="98" t="s">
        <v>47</v>
      </c>
      <c r="I56" s="46">
        <f>SUM('Datos Gastos GC'!B56:B59)</f>
        <v>672.99531378999995</v>
      </c>
      <c r="J56" s="12">
        <f>(I56/I55)-1</f>
        <v>6.9766286627189533E-2</v>
      </c>
      <c r="K56" s="40">
        <f t="shared" si="48"/>
        <v>2.2693105750660916</v>
      </c>
      <c r="L56" s="64">
        <f t="shared" si="49"/>
        <v>666.70755255129416</v>
      </c>
      <c r="M56" s="27">
        <v>653.34782380444301</v>
      </c>
      <c r="N56" s="98" t="s">
        <v>47</v>
      </c>
      <c r="O56" s="46">
        <f>SUM('Datos Gastos GC'!E56:E59)</f>
        <v>6466.1720215300002</v>
      </c>
      <c r="P56" s="12">
        <f t="shared" si="50"/>
        <v>8.6257537634748527E-3</v>
      </c>
      <c r="Q56" s="40">
        <f t="shared" si="51"/>
        <v>0.28057268316386186</v>
      </c>
      <c r="R56" s="64">
        <f t="shared" si="52"/>
        <v>6458.6719146556134</v>
      </c>
      <c r="T56" s="98" t="s">
        <v>47</v>
      </c>
      <c r="U56" s="46">
        <f>SUM('Datos Gastos GC'!H56:H59)</f>
        <v>1279.1540937499999</v>
      </c>
      <c r="V56" s="40">
        <f t="shared" si="53"/>
        <v>1.2457367542288988E-2</v>
      </c>
      <c r="W56" s="64">
        <f t="shared" si="54"/>
        <v>0.40520482410460068</v>
      </c>
      <c r="X56" s="64">
        <f t="shared" si="55"/>
        <v>1277.0118920258631</v>
      </c>
      <c r="Z56" s="98" t="s">
        <v>47</v>
      </c>
      <c r="AA56" s="46">
        <f>SUM('Datos Gastos GC'!K56:K59)</f>
        <v>1980.9528335925261</v>
      </c>
      <c r="AB56" s="64">
        <f t="shared" si="56"/>
        <v>-2.741256275728432E-2</v>
      </c>
      <c r="AC56" s="64">
        <f t="shared" si="57"/>
        <v>-0.89165729698625618</v>
      </c>
      <c r="AD56" s="64">
        <f t="shared" si="58"/>
        <v>1988.2726477342383</v>
      </c>
      <c r="AF56" s="98" t="s">
        <v>47</v>
      </c>
      <c r="AG56" s="46">
        <f>SUM('Datos Gastos GC'!N56:N59)</f>
        <v>5208.8043132217645</v>
      </c>
      <c r="AH56" s="64">
        <f t="shared" si="59"/>
        <v>8.6685338236106135E-2</v>
      </c>
      <c r="AI56" s="64">
        <f t="shared" si="60"/>
        <v>2.8196420401958435</v>
      </c>
      <c r="AJ56" s="64">
        <f t="shared" si="61"/>
        <v>5148.4054681321786</v>
      </c>
      <c r="AK56" s="27">
        <v>5270.6235805462802</v>
      </c>
      <c r="AL56" s="98" t="s">
        <v>47</v>
      </c>
      <c r="AM56" s="46">
        <f>SUM('Datos Gastos GC'!Q56:Q59)</f>
        <v>2826.6774008100001</v>
      </c>
      <c r="AN56" s="64">
        <f t="shared" si="62"/>
        <v>-3.9525853838474623E-2</v>
      </c>
      <c r="AO56" s="64">
        <f t="shared" si="63"/>
        <v>-1.2856702347292532</v>
      </c>
      <c r="AP56" s="64">
        <f t="shared" si="64"/>
        <v>2841.7499934424391</v>
      </c>
      <c r="AQ56" s="27">
        <v>2801.6404347369198</v>
      </c>
      <c r="AR56" s="98" t="s">
        <v>47</v>
      </c>
      <c r="AS56" s="46">
        <f>SUM('Datos Gastos GC'!T56:T59)</f>
        <v>18434.75597669429</v>
      </c>
      <c r="AT56" s="64">
        <f t="shared" si="65"/>
        <v>1.9820123791052691E-2</v>
      </c>
      <c r="AU56" s="64">
        <f t="shared" si="66"/>
        <v>0.64469557851780424</v>
      </c>
      <c r="AV56" s="64">
        <f t="shared" si="67"/>
        <v>18385.660674174414</v>
      </c>
      <c r="AW56" s="27">
        <v>18788.0893236501</v>
      </c>
      <c r="AY56" s="255" t="s">
        <v>47</v>
      </c>
      <c r="AZ56" s="251">
        <f t="shared" si="75"/>
        <v>666.70755255129416</v>
      </c>
      <c r="BA56" s="251">
        <f t="shared" si="76"/>
        <v>6458.6719146556134</v>
      </c>
      <c r="BB56" s="251">
        <f t="shared" si="77"/>
        <v>1277.0118920258631</v>
      </c>
      <c r="BC56" s="251">
        <f t="shared" si="78"/>
        <v>1988.2726477342383</v>
      </c>
      <c r="BD56" s="251">
        <f t="shared" si="79"/>
        <v>5148.4054681321786</v>
      </c>
      <c r="BE56" s="251">
        <f t="shared" si="80"/>
        <v>2841.7499934424391</v>
      </c>
      <c r="BF56" s="251">
        <f t="shared" si="71"/>
        <v>18380.819468541624</v>
      </c>
      <c r="BG56" s="64">
        <f t="shared" si="81"/>
        <v>18434.75597669429</v>
      </c>
      <c r="BH56" s="64">
        <f t="shared" si="68"/>
        <v>17714.111915990328</v>
      </c>
      <c r="BI56" s="64">
        <f t="shared" si="69"/>
        <v>10390.664006967008</v>
      </c>
      <c r="BJ56" s="64">
        <f t="shared" si="73"/>
        <v>10399.274262662526</v>
      </c>
      <c r="BK56" s="64">
        <f t="shared" si="70"/>
        <v>7990.1554615746172</v>
      </c>
      <c r="BL56" s="64">
        <f t="shared" si="74"/>
        <v>8035.4817140317646</v>
      </c>
    </row>
    <row r="57" spans="1:64" x14ac:dyDescent="0.25">
      <c r="A57" s="98" t="s">
        <v>48</v>
      </c>
      <c r="B57" s="220">
        <f>'Ingreso estructural no oil'!K56</f>
        <v>61604.989864128504</v>
      </c>
      <c r="C57" s="40">
        <f>'Ingreso estructural no oil'!L56</f>
        <v>61933.289999999994</v>
      </c>
      <c r="D57" s="12">
        <f t="shared" si="72"/>
        <v>0.99469913295625845</v>
      </c>
      <c r="E57" s="64">
        <f>'Ingreso estructural no oil'!N56</f>
        <v>81976.646000000008</v>
      </c>
      <c r="F57" s="12">
        <f t="shared" si="46"/>
        <v>3.4057714638446424E-2</v>
      </c>
      <c r="H57" s="98" t="s">
        <v>48</v>
      </c>
      <c r="I57" s="46">
        <f>SUM('Datos Gastos GC'!B57:B60)</f>
        <v>720.52560482999991</v>
      </c>
      <c r="J57" s="12">
        <f t="shared" si="47"/>
        <v>7.0624995547637903E-2</v>
      </c>
      <c r="K57" s="40">
        <f t="shared" si="48"/>
        <v>2.073685691990387</v>
      </c>
      <c r="L57" s="64">
        <f t="shared" si="49"/>
        <v>712.62788405795231</v>
      </c>
      <c r="M57" s="27">
        <v>696.83108495938802</v>
      </c>
      <c r="N57" s="98" t="s">
        <v>48</v>
      </c>
      <c r="O57" s="46">
        <f>SUM('Datos Gastos GC'!E57:E60)</f>
        <v>6746.5114193200006</v>
      </c>
      <c r="P57" s="12">
        <f t="shared" si="50"/>
        <v>4.3354769538541893E-2</v>
      </c>
      <c r="Q57" s="40">
        <f t="shared" si="51"/>
        <v>1.2729794115310482</v>
      </c>
      <c r="R57" s="64">
        <f t="shared" si="52"/>
        <v>6701.0196514697391</v>
      </c>
      <c r="T57" s="98" t="s">
        <v>48</v>
      </c>
      <c r="U57" s="46">
        <f>SUM('Datos Gastos GC'!H57:H60)</f>
        <v>1342.2597234599998</v>
      </c>
      <c r="V57" s="40">
        <f t="shared" si="53"/>
        <v>4.933387620642149E-2</v>
      </c>
      <c r="W57" s="64">
        <f t="shared" si="54"/>
        <v>1.4485374820402777</v>
      </c>
      <c r="X57" s="64">
        <f t="shared" si="55"/>
        <v>1331.9654405796318</v>
      </c>
      <c r="Z57" s="98" t="s">
        <v>48</v>
      </c>
      <c r="AA57" s="46">
        <f>SUM('Datos Gastos GC'!K57:K60)</f>
        <v>2020.3212659866851</v>
      </c>
      <c r="AB57" s="64">
        <f t="shared" si="56"/>
        <v>1.9873482965651057E-2</v>
      </c>
      <c r="AC57" s="64">
        <f t="shared" si="57"/>
        <v>0.58352367963106544</v>
      </c>
      <c r="AD57" s="64">
        <f t="shared" si="58"/>
        <v>2014.0651302613192</v>
      </c>
      <c r="AF57" s="98" t="s">
        <v>48</v>
      </c>
      <c r="AG57" s="46">
        <f>SUM('Datos Gastos GC'!N57:N60)</f>
        <v>5538.2520041106218</v>
      </c>
      <c r="AH57" s="64">
        <f t="shared" si="59"/>
        <v>6.3248237230299376E-2</v>
      </c>
      <c r="AI57" s="64">
        <f t="shared" si="60"/>
        <v>1.8570898811542953</v>
      </c>
      <c r="AJ57" s="64">
        <f t="shared" si="61"/>
        <v>5483.8562995012935</v>
      </c>
      <c r="AK57" s="27">
        <v>5564.0591874289203</v>
      </c>
      <c r="AL57" s="98" t="s">
        <v>48</v>
      </c>
      <c r="AM57" s="46">
        <f>SUM('Datos Gastos GC'!Q57:Q60)</f>
        <v>2734.8320520460002</v>
      </c>
      <c r="AN57" s="64">
        <f t="shared" si="62"/>
        <v>-3.2492334900926845E-2</v>
      </c>
      <c r="AO57" s="64">
        <f t="shared" si="63"/>
        <v>-0.9540374404408074</v>
      </c>
      <c r="AP57" s="64">
        <f t="shared" si="64"/>
        <v>2748.7347202783908</v>
      </c>
      <c r="AQ57" s="27">
        <v>2856.0274019018598</v>
      </c>
      <c r="AR57" s="98" t="s">
        <v>48</v>
      </c>
      <c r="AS57" s="46">
        <f>SUM('Datos Gastos GC'!T57:T60)</f>
        <v>19102.702069753308</v>
      </c>
      <c r="AT57" s="64">
        <f t="shared" si="65"/>
        <v>3.6232977203682681E-2</v>
      </c>
      <c r="AU57" s="64">
        <f t="shared" si="66"/>
        <v>1.0638698922792866</v>
      </c>
      <c r="AV57" s="64">
        <f t="shared" si="67"/>
        <v>18994.991930981923</v>
      </c>
      <c r="AW57" s="27">
        <v>19477.6455244305</v>
      </c>
      <c r="AY57" s="255" t="s">
        <v>48</v>
      </c>
      <c r="AZ57" s="251">
        <f t="shared" si="75"/>
        <v>712.62788405795231</v>
      </c>
      <c r="BA57" s="251">
        <f t="shared" si="76"/>
        <v>6701.0196514697391</v>
      </c>
      <c r="BB57" s="251">
        <f t="shared" si="77"/>
        <v>1331.9654405796318</v>
      </c>
      <c r="BC57" s="251">
        <f t="shared" si="78"/>
        <v>2014.0651302613192</v>
      </c>
      <c r="BD57" s="251">
        <f t="shared" si="79"/>
        <v>5483.8562995012935</v>
      </c>
      <c r="BE57" s="251">
        <f t="shared" si="80"/>
        <v>2748.7347202783908</v>
      </c>
      <c r="BF57" s="251">
        <f t="shared" si="71"/>
        <v>18992.269126148327</v>
      </c>
      <c r="BG57" s="64">
        <f t="shared" si="81"/>
        <v>19102.702069753308</v>
      </c>
      <c r="BH57" s="64">
        <f t="shared" si="68"/>
        <v>18279.641242090376</v>
      </c>
      <c r="BI57" s="64">
        <f t="shared" si="69"/>
        <v>10759.678106368643</v>
      </c>
      <c r="BJ57" s="64">
        <f t="shared" si="73"/>
        <v>10829.618013596686</v>
      </c>
      <c r="BK57" s="64">
        <f t="shared" si="70"/>
        <v>8232.5910197796838</v>
      </c>
      <c r="BL57" s="64">
        <f t="shared" si="74"/>
        <v>8273.084056156622</v>
      </c>
    </row>
    <row r="58" spans="1:64" x14ac:dyDescent="0.25">
      <c r="A58" s="98" t="s">
        <v>49</v>
      </c>
      <c r="B58" s="220">
        <f>'Ingreso estructural no oil'!K57</f>
        <v>62531.283250338201</v>
      </c>
      <c r="C58" s="40">
        <f>'Ingreso estructural no oil'!L57</f>
        <v>62829.391000000003</v>
      </c>
      <c r="D58" s="12">
        <f t="shared" si="72"/>
        <v>0.9952552818845275</v>
      </c>
      <c r="E58" s="64">
        <f>'Ingreso estructural no oil'!N57</f>
        <v>84157.376000000004</v>
      </c>
      <c r="F58" s="12">
        <f t="shared" si="46"/>
        <v>2.6601844627798021E-2</v>
      </c>
      <c r="H58" s="98" t="s">
        <v>49</v>
      </c>
      <c r="I58" s="46">
        <f>SUM('Datos Gastos GC'!B58:B61)</f>
        <v>744.73506023999994</v>
      </c>
      <c r="J58" s="12">
        <f t="shared" si="47"/>
        <v>3.3599715607208758E-2</v>
      </c>
      <c r="K58" s="40">
        <f t="shared" si="48"/>
        <v>1.263059613997527</v>
      </c>
      <c r="L58" s="64">
        <f t="shared" si="49"/>
        <v>740.2747544675359</v>
      </c>
      <c r="M58" s="27">
        <v>745.30569813135799</v>
      </c>
      <c r="N58" s="98" t="s">
        <v>49</v>
      </c>
      <c r="O58" s="46">
        <f>SUM('Datos Gastos GC'!E58:E61)</f>
        <v>6787.2679520600013</v>
      </c>
      <c r="P58" s="12">
        <f t="shared" si="50"/>
        <v>6.0411270665436945E-3</v>
      </c>
      <c r="Q58" s="40">
        <f t="shared" si="51"/>
        <v>0.2270942918082802</v>
      </c>
      <c r="R58" s="64">
        <f t="shared" si="52"/>
        <v>6779.9412342902788</v>
      </c>
      <c r="T58" s="98" t="s">
        <v>49</v>
      </c>
      <c r="U58" s="46">
        <f>SUM('Datos Gastos GC'!H58:H61)</f>
        <v>1424.7451929000001</v>
      </c>
      <c r="V58" s="40">
        <f t="shared" si="53"/>
        <v>6.1452689072256428E-2</v>
      </c>
      <c r="W58" s="64">
        <f t="shared" si="54"/>
        <v>2.3100912711910384</v>
      </c>
      <c r="X58" s="64">
        <f t="shared" si="55"/>
        <v>1409.177454400904</v>
      </c>
      <c r="Z58" s="98" t="s">
        <v>49</v>
      </c>
      <c r="AA58" s="46">
        <f>SUM('Datos Gastos GC'!K58:K61)</f>
        <v>2051.8648066168935</v>
      </c>
      <c r="AB58" s="12">
        <f t="shared" si="56"/>
        <v>1.5613131020923543E-2</v>
      </c>
      <c r="AC58" s="64">
        <f t="shared" si="57"/>
        <v>0.58691911179002798</v>
      </c>
      <c r="AD58" s="64">
        <f t="shared" si="58"/>
        <v>2046.1452316983489</v>
      </c>
      <c r="AF58" s="98" t="s">
        <v>49</v>
      </c>
      <c r="AG58" s="46">
        <f>SUM('Datos Gastos GC'!N58:N61)</f>
        <v>5865.5018021594788</v>
      </c>
      <c r="AH58" s="64">
        <f t="shared" si="59"/>
        <v>5.9089004582305815E-2</v>
      </c>
      <c r="AI58" s="64">
        <f t="shared" si="60"/>
        <v>2.2212371137811933</v>
      </c>
      <c r="AJ58" s="64">
        <f t="shared" si="61"/>
        <v>5803.863469548266</v>
      </c>
      <c r="AK58" s="27">
        <v>5870.98771820398</v>
      </c>
      <c r="AL58" s="98" t="s">
        <v>49</v>
      </c>
      <c r="AM58" s="46">
        <f>SUM('Datos Gastos GC'!Q58:Q61)</f>
        <v>2787.350700896</v>
      </c>
      <c r="AN58" s="64">
        <f t="shared" si="62"/>
        <v>1.9203610258520021E-2</v>
      </c>
      <c r="AO58" s="64">
        <f t="shared" si="63"/>
        <v>0.72189017442996795</v>
      </c>
      <c r="AP58" s="64">
        <f t="shared" si="64"/>
        <v>2777.797252008233</v>
      </c>
      <c r="AQ58" s="27">
        <v>2904.7388801474299</v>
      </c>
      <c r="AR58" s="98" t="s">
        <v>49</v>
      </c>
      <c r="AS58" s="46">
        <f>SUM('Datos Gastos GC'!T58:T61)</f>
        <v>19661.465514872372</v>
      </c>
      <c r="AT58" s="64">
        <f t="shared" si="65"/>
        <v>2.9250492578418719E-2</v>
      </c>
      <c r="AU58" s="64">
        <f t="shared" si="66"/>
        <v>1.0995663266092814</v>
      </c>
      <c r="AV58" s="64">
        <f t="shared" si="67"/>
        <v>19558.91331254856</v>
      </c>
      <c r="AW58" s="27">
        <v>20199.694064073599</v>
      </c>
      <c r="AY58" s="255" t="s">
        <v>49</v>
      </c>
      <c r="AZ58" s="251">
        <f t="shared" si="75"/>
        <v>740.2747544675359</v>
      </c>
      <c r="BA58" s="251">
        <f t="shared" si="76"/>
        <v>6779.9412342902788</v>
      </c>
      <c r="BB58" s="251">
        <f t="shared" si="77"/>
        <v>1409.177454400904</v>
      </c>
      <c r="BC58" s="251">
        <f t="shared" si="78"/>
        <v>2046.1452316983489</v>
      </c>
      <c r="BD58" s="251">
        <f t="shared" si="79"/>
        <v>5803.863469548266</v>
      </c>
      <c r="BE58" s="251">
        <f t="shared" si="80"/>
        <v>2777.797252008233</v>
      </c>
      <c r="BF58" s="251">
        <f t="shared" si="71"/>
        <v>19557.199396413565</v>
      </c>
      <c r="BG58" s="64">
        <f t="shared" si="81"/>
        <v>19661.465514872376</v>
      </c>
      <c r="BH58" s="64">
        <f t="shared" si="68"/>
        <v>18816.924641946029</v>
      </c>
      <c r="BI58" s="64">
        <f t="shared" si="69"/>
        <v>10975.538674857067</v>
      </c>
      <c r="BJ58" s="64">
        <f t="shared" si="73"/>
        <v>11008.613011816895</v>
      </c>
      <c r="BK58" s="64">
        <f t="shared" si="70"/>
        <v>8581.6607215564982</v>
      </c>
      <c r="BL58" s="64">
        <f t="shared" si="74"/>
        <v>8652.8525030554792</v>
      </c>
    </row>
    <row r="59" spans="1:64" x14ac:dyDescent="0.25">
      <c r="A59" s="98" t="s">
        <v>50</v>
      </c>
      <c r="B59" s="220">
        <f>'Ingreso estructural no oil'!K58</f>
        <v>63440.682318598199</v>
      </c>
      <c r="C59" s="40">
        <f>'Ingreso estructural no oil'!L58</f>
        <v>63617.247000000003</v>
      </c>
      <c r="D59" s="12">
        <f t="shared" si="72"/>
        <v>0.99722457840085721</v>
      </c>
      <c r="E59" s="64">
        <f>'Ingreso estructural no oil'!N58</f>
        <v>86295.843000000008</v>
      </c>
      <c r="F59" s="12">
        <f t="shared" si="46"/>
        <v>2.5410333611161962E-2</v>
      </c>
      <c r="H59" s="98" t="s">
        <v>50</v>
      </c>
      <c r="I59" s="46">
        <f>SUM('Datos Gastos GC'!B59:B62)</f>
        <v>783.00101657853406</v>
      </c>
      <c r="J59" s="12">
        <f t="shared" si="47"/>
        <v>5.1381972437557044E-2</v>
      </c>
      <c r="K59" s="40">
        <f t="shared" si="48"/>
        <v>2.0220896436789229</v>
      </c>
      <c r="L59" s="64">
        <f t="shared" si="49"/>
        <v>778.61292904872289</v>
      </c>
      <c r="M59" s="27">
        <v>798.60262082566101</v>
      </c>
      <c r="N59" s="98" t="s">
        <v>50</v>
      </c>
      <c r="O59" s="46">
        <f>SUM('Datos Gastos GC'!E59:E62)</f>
        <v>6991.1406890600001</v>
      </c>
      <c r="P59" s="12">
        <f t="shared" si="50"/>
        <v>3.003752591469766E-2</v>
      </c>
      <c r="Q59" s="40">
        <f t="shared" si="51"/>
        <v>1.1820988411385169</v>
      </c>
      <c r="R59" s="64">
        <f t="shared" si="52"/>
        <v>6968.2097968016151</v>
      </c>
      <c r="T59" s="98" t="s">
        <v>50</v>
      </c>
      <c r="U59" s="46">
        <f>SUM('Datos Gastos GC'!H59:H62)</f>
        <v>1494.5441169000001</v>
      </c>
      <c r="V59" s="40">
        <f t="shared" si="53"/>
        <v>4.8990461134968077E-2</v>
      </c>
      <c r="W59" s="64">
        <f t="shared" si="54"/>
        <v>1.9279739449563191</v>
      </c>
      <c r="X59" s="64">
        <f t="shared" si="55"/>
        <v>1486.5571993901071</v>
      </c>
      <c r="Z59" s="98" t="s">
        <v>50</v>
      </c>
      <c r="AA59" s="46">
        <f>SUM('Datos Gastos GC'!K59:K62)</f>
        <v>2127.3006604749198</v>
      </c>
      <c r="AB59" s="12">
        <f t="shared" si="56"/>
        <v>3.6764534200674159E-2</v>
      </c>
      <c r="AC59" s="64">
        <f t="shared" si="57"/>
        <v>1.4468339834989279</v>
      </c>
      <c r="AD59" s="64">
        <f t="shared" si="58"/>
        <v>2118.7636262522806</v>
      </c>
      <c r="AF59" s="98" t="s">
        <v>50</v>
      </c>
      <c r="AG59" s="46">
        <f>SUM('Datos Gastos GC'!N59:N62)</f>
        <v>6006.7658341261958</v>
      </c>
      <c r="AH59" s="64">
        <f t="shared" si="59"/>
        <v>2.4083878367356037E-2</v>
      </c>
      <c r="AI59" s="64">
        <f t="shared" si="60"/>
        <v>0.94779858997115829</v>
      </c>
      <c r="AJ59" s="64">
        <f t="shared" si="61"/>
        <v>5990.9636465042813</v>
      </c>
      <c r="AK59" s="27">
        <v>6185.3065799342003</v>
      </c>
      <c r="AL59" s="98" t="s">
        <v>50</v>
      </c>
      <c r="AM59" s="46">
        <f>SUM('Datos Gastos GC'!Q59:Q62)</f>
        <v>2862.8291474160001</v>
      </c>
      <c r="AN59" s="64">
        <f t="shared" si="62"/>
        <v>2.7078919956407876E-2</v>
      </c>
      <c r="AO59" s="64">
        <f t="shared" si="63"/>
        <v>1.0656656607024222</v>
      </c>
      <c r="AP59" s="64">
        <f t="shared" si="64"/>
        <v>2854.3626115105594</v>
      </c>
      <c r="AQ59" s="27">
        <v>2951.7585493894398</v>
      </c>
      <c r="AR59" s="98" t="s">
        <v>50</v>
      </c>
      <c r="AS59" s="46">
        <f>SUM('Datos Gastos GC'!T59:T62)</f>
        <v>20265.581464555653</v>
      </c>
      <c r="AT59" s="64">
        <f t="shared" si="65"/>
        <v>3.0725886085465781E-2</v>
      </c>
      <c r="AU59" s="64">
        <f t="shared" si="66"/>
        <v>1.2091886141931196</v>
      </c>
      <c r="AV59" s="64">
        <f t="shared" si="67"/>
        <v>20197.589764770939</v>
      </c>
      <c r="AW59" s="27">
        <v>20949.653805685299</v>
      </c>
      <c r="AY59" s="255" t="s">
        <v>50</v>
      </c>
      <c r="AZ59" s="251">
        <f t="shared" si="75"/>
        <v>778.61292904872289</v>
      </c>
      <c r="BA59" s="251">
        <f t="shared" si="76"/>
        <v>6968.2097968016151</v>
      </c>
      <c r="BB59" s="251">
        <f t="shared" si="77"/>
        <v>1486.5571993901071</v>
      </c>
      <c r="BC59" s="251">
        <f t="shared" si="78"/>
        <v>2118.7636262522806</v>
      </c>
      <c r="BD59" s="251">
        <f t="shared" si="79"/>
        <v>5990.9636465042813</v>
      </c>
      <c r="BE59" s="251">
        <f t="shared" si="80"/>
        <v>2854.3626115105594</v>
      </c>
      <c r="BF59" s="251">
        <f t="shared" si="71"/>
        <v>20197.469809507566</v>
      </c>
      <c r="BG59" s="64">
        <f t="shared" si="81"/>
        <v>20265.581464555649</v>
      </c>
      <c r="BH59" s="64">
        <f t="shared" ref="BH59:BH71" si="82">BF59-AZ59</f>
        <v>19418.856880458843</v>
      </c>
      <c r="BI59" s="64">
        <f t="shared" si="69"/>
        <v>11352.143551492725</v>
      </c>
      <c r="BJ59" s="64">
        <f t="shared" si="73"/>
        <v>11395.986483013454</v>
      </c>
      <c r="BK59" s="64">
        <f>SUM(BD59:BE59)</f>
        <v>8845.3262580148403</v>
      </c>
      <c r="BL59" s="64">
        <f t="shared" si="74"/>
        <v>8869.5949815421955</v>
      </c>
    </row>
    <row r="60" spans="1:64" x14ac:dyDescent="0.25">
      <c r="A60" s="98" t="s">
        <v>51</v>
      </c>
      <c r="B60" s="220">
        <f>'Ingreso estructural no oil'!K59</f>
        <v>64324.3988107443</v>
      </c>
      <c r="C60" s="40">
        <f>'Ingreso estructural no oil'!L59</f>
        <v>64362.433000000005</v>
      </c>
      <c r="D60" s="12">
        <f t="shared" si="72"/>
        <v>0.99940906228240778</v>
      </c>
      <c r="E60" s="64">
        <f>'Ingreso estructural no oil'!N59</f>
        <v>87924.544000000009</v>
      </c>
      <c r="F60" s="12">
        <f t="shared" si="46"/>
        <v>1.8873458365775475E-2</v>
      </c>
      <c r="H60" s="98" t="s">
        <v>51</v>
      </c>
      <c r="I60" s="46">
        <f>SUM('Datos Gastos GC'!B60:B63)</f>
        <v>827.8895346845012</v>
      </c>
      <c r="J60" s="12">
        <f t="shared" si="47"/>
        <v>5.7328812039243227E-2</v>
      </c>
      <c r="K60" s="40">
        <f t="shared" si="48"/>
        <v>3.0375361488174026</v>
      </c>
      <c r="L60" s="64">
        <f t="shared" si="49"/>
        <v>826.40437184102007</v>
      </c>
      <c r="M60" s="27">
        <v>856.54975356629097</v>
      </c>
      <c r="N60" s="98" t="s">
        <v>51</v>
      </c>
      <c r="O60" s="46">
        <f>SUM('Datos Gastos GC'!E60:E63)</f>
        <v>7352.9260320000003</v>
      </c>
      <c r="P60" s="12">
        <f t="shared" ref="P60:P76" si="83">(O60/O59)-1</f>
        <v>5.1749114919992234E-2</v>
      </c>
      <c r="Q60" s="40">
        <f t="shared" ref="Q60:Q76" si="84">P60/F60</f>
        <v>2.7418989099439464</v>
      </c>
      <c r="R60" s="64">
        <f t="shared" ref="R60:R76" si="85">O60*((D60)^Q60)</f>
        <v>7341.0182794742559</v>
      </c>
      <c r="T60" s="98" t="s">
        <v>51</v>
      </c>
      <c r="U60" s="46">
        <f>SUM('Datos Gastos GC'!H60:H63)</f>
        <v>1657.5590890000001</v>
      </c>
      <c r="V60" s="40">
        <f t="shared" ref="V60:V76" si="86">(U60/U59)-1</f>
        <v>0.10907337579176146</v>
      </c>
      <c r="W60" s="64">
        <f t="shared" ref="W60:W76" si="87">V60/F60</f>
        <v>5.779193917610332</v>
      </c>
      <c r="X60" s="64">
        <f t="shared" ref="X60:X76" si="88">U60*((D60)^W60)</f>
        <v>1651.9062742685526</v>
      </c>
      <c r="Z60" s="98" t="s">
        <v>51</v>
      </c>
      <c r="AA60" s="46">
        <f>SUM('Datos Gastos GC'!K60:K63)</f>
        <v>2126.9976150520724</v>
      </c>
      <c r="AB60" s="12">
        <f t="shared" ref="AB60:AB76" si="89">(AA60/AA59)-1</f>
        <v>-1.4245537947599196E-4</v>
      </c>
      <c r="AC60" s="64">
        <f t="shared" ref="AC60:AC76" si="90">AB60/F60</f>
        <v>-7.5479213568148155E-3</v>
      </c>
      <c r="AD60" s="64">
        <f t="shared" ref="AD60:AD76" si="91">AA60*((D60)^AC60)</f>
        <v>2127.0071050343381</v>
      </c>
      <c r="AF60" s="98" t="s">
        <v>51</v>
      </c>
      <c r="AG60" s="46">
        <f>SUM('Datos Gastos GC'!N60:N63)</f>
        <v>6209.3867256634712</v>
      </c>
      <c r="AH60" s="12">
        <f t="shared" ref="AH60:AH76" si="92">(AG60/AG59)-1</f>
        <v>3.373211094498263E-2</v>
      </c>
      <c r="AI60" s="64">
        <f t="shared" ref="AI60:AI76" si="93">AH60/F60</f>
        <v>1.7872776833604254</v>
      </c>
      <c r="AJ60" s="64">
        <f t="shared" ref="AJ60:AJ73" si="94">AG60*((D60)^AI60)</f>
        <v>6202.8300845576132</v>
      </c>
      <c r="AK60" s="27">
        <v>6500.8633025003201</v>
      </c>
      <c r="AL60" s="98" t="s">
        <v>51</v>
      </c>
      <c r="AM60" s="46">
        <f>SUM('Datos Gastos GC'!Q60:Q63)</f>
        <v>3050.7940755460004</v>
      </c>
      <c r="AN60" s="64">
        <f t="shared" ref="AN60:AN76" si="95">(AM60/AM59)-1</f>
        <v>6.5657054071724064E-2</v>
      </c>
      <c r="AO60" s="64">
        <f t="shared" ref="AO60:AO76" si="96">AN60/F60</f>
        <v>3.4788035557269388</v>
      </c>
      <c r="AP60" s="64">
        <f t="shared" ref="AP60:AP76" si="97">AM60*((D60)^AO60)</f>
        <v>3044.5269787141629</v>
      </c>
      <c r="AQ60" s="27">
        <v>2999.8927007422299</v>
      </c>
      <c r="AR60" s="98" t="s">
        <v>51</v>
      </c>
      <c r="AS60" s="46">
        <f>SUM('Datos Gastos GC'!T60:T63)</f>
        <v>21225.553071946048</v>
      </c>
      <c r="AT60" s="64">
        <f t="shared" ref="AT60:AT71" si="98">(AS60/AS59)-1</f>
        <v>4.7369556559202497E-2</v>
      </c>
      <c r="AU60" s="64">
        <f t="shared" ref="AU60:AU76" si="99">AT60/F60</f>
        <v>2.5098503751226078</v>
      </c>
      <c r="AV60" s="64">
        <f t="shared" ref="AV60:AV80" si="100">AS60*((D60)^AU60)</f>
        <v>21194.086111869779</v>
      </c>
      <c r="AW60" s="27">
        <v>21717.556671731101</v>
      </c>
      <c r="AY60" s="255" t="s">
        <v>51</v>
      </c>
      <c r="AZ60" s="251">
        <f t="shared" si="75"/>
        <v>826.40437184102007</v>
      </c>
      <c r="BA60" s="251">
        <f t="shared" si="76"/>
        <v>7341.0182794742559</v>
      </c>
      <c r="BB60" s="251">
        <f t="shared" si="77"/>
        <v>1651.9062742685526</v>
      </c>
      <c r="BC60" s="251">
        <f t="shared" si="78"/>
        <v>2127.0071050343381</v>
      </c>
      <c r="BD60" s="251">
        <f t="shared" si="79"/>
        <v>6202.8300845576132</v>
      </c>
      <c r="BE60" s="251">
        <f t="shared" si="80"/>
        <v>3044.5269787141629</v>
      </c>
      <c r="BF60" s="251">
        <f t="shared" si="71"/>
        <v>21193.693093889942</v>
      </c>
      <c r="BG60" s="64">
        <f t="shared" si="81"/>
        <v>21225.553071946044</v>
      </c>
      <c r="BH60" s="64">
        <f t="shared" si="82"/>
        <v>20367.288722048921</v>
      </c>
      <c r="BI60" s="64">
        <f t="shared" si="69"/>
        <v>11946.336030618166</v>
      </c>
      <c r="BJ60" s="64">
        <f t="shared" si="73"/>
        <v>11965.372270736574</v>
      </c>
      <c r="BK60" s="64">
        <f t="shared" ref="BK60:BK70" si="101">SUM(BD60:BE60)</f>
        <v>9247.3570632717765</v>
      </c>
      <c r="BL60" s="64">
        <f t="shared" si="74"/>
        <v>9260.1808012094716</v>
      </c>
    </row>
    <row r="61" spans="1:64" x14ac:dyDescent="0.25">
      <c r="A61" s="98" t="s">
        <v>127</v>
      </c>
      <c r="B61" s="220">
        <f>'Ingreso estructural no oil'!K60</f>
        <v>65175.409645426502</v>
      </c>
      <c r="C61" s="40">
        <f>'Ingreso estructural no oil'!L60</f>
        <v>65022.555999999997</v>
      </c>
      <c r="D61" s="12">
        <f t="shared" si="72"/>
        <v>1.0023507787886177</v>
      </c>
      <c r="E61" s="64">
        <f>'Ingreso estructural no oil'!N60</f>
        <v>89321.393000000011</v>
      </c>
      <c r="F61" s="12">
        <f t="shared" si="46"/>
        <v>1.5886906391007205E-2</v>
      </c>
      <c r="H61" s="98" t="s">
        <v>127</v>
      </c>
      <c r="I61" s="46">
        <f>SUM('Datos Gastos GC'!B61:B64)</f>
        <v>871.76238395657845</v>
      </c>
      <c r="J61" s="12">
        <f t="shared" si="47"/>
        <v>5.2993602931333816E-2</v>
      </c>
      <c r="K61" s="40">
        <f t="shared" si="48"/>
        <v>3.3356779241382628</v>
      </c>
      <c r="L61" s="64">
        <f t="shared" si="49"/>
        <v>878.61704355843437</v>
      </c>
      <c r="M61" s="27">
        <v>918.81897066898398</v>
      </c>
      <c r="N61" s="98" t="s">
        <v>127</v>
      </c>
      <c r="O61" s="46">
        <f>SUM('Datos Gastos GC'!E61:E64)</f>
        <v>7500.92328</v>
      </c>
      <c r="P61" s="12">
        <f t="shared" si="83"/>
        <v>2.0127667183909459E-2</v>
      </c>
      <c r="Q61" s="40">
        <f t="shared" si="84"/>
        <v>1.2669343350133127</v>
      </c>
      <c r="R61" s="64">
        <f t="shared" si="85"/>
        <v>7523.2701526496285</v>
      </c>
      <c r="T61" s="98" t="s">
        <v>127</v>
      </c>
      <c r="U61" s="46">
        <f>SUM('Datos Gastos GC'!H61:H64)</f>
        <v>1732.1619519999999</v>
      </c>
      <c r="V61" s="40">
        <f t="shared" si="86"/>
        <v>4.5007664278808646E-2</v>
      </c>
      <c r="W61" s="64">
        <f t="shared" si="87"/>
        <v>2.8330036805834813</v>
      </c>
      <c r="X61" s="64">
        <f t="shared" si="88"/>
        <v>1743.7226134779855</v>
      </c>
      <c r="Z61" s="98" t="s">
        <v>127</v>
      </c>
      <c r="AA61" s="46">
        <f>SUM('Datos Gastos GC'!K61:K64)</f>
        <v>2428.205146864329</v>
      </c>
      <c r="AB61" s="12">
        <f t="shared" si="89"/>
        <v>0.14161159828328374</v>
      </c>
      <c r="AC61" s="64">
        <f t="shared" si="90"/>
        <v>8.9137302630198096</v>
      </c>
      <c r="AD61" s="64">
        <f t="shared" si="91"/>
        <v>2479.5621172280103</v>
      </c>
      <c r="AF61" s="98" t="s">
        <v>127</v>
      </c>
      <c r="AG61" s="46">
        <f>SUM('Datos Gastos GC'!N61:N64)</f>
        <v>6296.5993398734718</v>
      </c>
      <c r="AH61" s="12">
        <f t="shared" si="92"/>
        <v>1.4045286283997926E-2</v>
      </c>
      <c r="AI61" s="64">
        <f t="shared" si="93"/>
        <v>0.88407937570201023</v>
      </c>
      <c r="AJ61" s="64">
        <f t="shared" si="94"/>
        <v>6309.6836236989566</v>
      </c>
      <c r="AK61" s="27">
        <v>6809.72234998369</v>
      </c>
      <c r="AL61" s="98" t="s">
        <v>127</v>
      </c>
      <c r="AM61" s="46">
        <f>SUM('Datos Gastos GC'!Q61:Q64)</f>
        <v>3030.43473756</v>
      </c>
      <c r="AN61" s="64">
        <f t="shared" si="95"/>
        <v>-6.6734553305950461E-3</v>
      </c>
      <c r="AO61" s="64">
        <f t="shared" si="96"/>
        <v>-0.42006009013640067</v>
      </c>
      <c r="AP61" s="64">
        <f t="shared" si="97"/>
        <v>3027.4472645004212</v>
      </c>
      <c r="AQ61" s="27">
        <v>3051.06003982624</v>
      </c>
      <c r="AR61" s="98" t="s">
        <v>127</v>
      </c>
      <c r="AS61" s="46">
        <f>SUM('Datos Gastos GC'!T61:T64)</f>
        <v>21860.086840254382</v>
      </c>
      <c r="AT61" s="64">
        <f t="shared" si="98"/>
        <v>2.9894804915448825E-2</v>
      </c>
      <c r="AU61" s="64">
        <f t="shared" si="99"/>
        <v>1.8817260062897332</v>
      </c>
      <c r="AV61" s="64">
        <f t="shared" si="100"/>
        <v>21956.885612513419</v>
      </c>
      <c r="AW61" s="27">
        <v>22486.598046619401</v>
      </c>
      <c r="AY61" s="255" t="s">
        <v>127</v>
      </c>
      <c r="AZ61" s="251">
        <f t="shared" si="75"/>
        <v>878.61704355843437</v>
      </c>
      <c r="BA61" s="251">
        <f t="shared" si="76"/>
        <v>7523.2701526496285</v>
      </c>
      <c r="BB61" s="251">
        <f t="shared" si="77"/>
        <v>1743.7226134779855</v>
      </c>
      <c r="BC61" s="251">
        <f t="shared" si="78"/>
        <v>2479.5621172280103</v>
      </c>
      <c r="BD61" s="251">
        <f t="shared" si="79"/>
        <v>6309.6836236989566</v>
      </c>
      <c r="BE61" s="251">
        <f t="shared" si="80"/>
        <v>3027.4472645004212</v>
      </c>
      <c r="BF61" s="251">
        <f t="shared" si="71"/>
        <v>21962.302815113435</v>
      </c>
      <c r="BG61" s="64">
        <f t="shared" si="81"/>
        <v>21860.086840254382</v>
      </c>
      <c r="BH61" s="64">
        <f t="shared" si="82"/>
        <v>21083.685771555</v>
      </c>
      <c r="BI61" s="64">
        <f t="shared" ref="BI61:BI71" si="102">SUM(AZ61:BC61)</f>
        <v>12625.171926914058</v>
      </c>
      <c r="BJ61" s="64">
        <f t="shared" si="73"/>
        <v>12533.052762820907</v>
      </c>
      <c r="BK61" s="64">
        <f t="shared" si="101"/>
        <v>9337.1308881993773</v>
      </c>
      <c r="BL61" s="64">
        <f t="shared" si="74"/>
        <v>9327.0340774334727</v>
      </c>
    </row>
    <row r="62" spans="1:64" x14ac:dyDescent="0.25">
      <c r="A62" s="98" t="s">
        <v>130</v>
      </c>
      <c r="B62" s="220">
        <f>'Ingreso estructural no oil'!K61</f>
        <v>65987.071753187105</v>
      </c>
      <c r="C62" s="40">
        <f>'Ingreso estructural no oil'!L61</f>
        <v>65751.953999999998</v>
      </c>
      <c r="D62" s="12">
        <f t="shared" si="72"/>
        <v>1.0035758291409425</v>
      </c>
      <c r="E62" s="64">
        <f>'Ingreso estructural no oil'!N61</f>
        <v>90853.872999999992</v>
      </c>
      <c r="F62" s="63">
        <f t="shared" si="46"/>
        <v>1.715692006728986E-2</v>
      </c>
      <c r="H62" s="98" t="s">
        <v>130</v>
      </c>
      <c r="I62" s="46">
        <f>SUM('Datos Gastos GC'!B62:B65)</f>
        <v>1007.2674025043068</v>
      </c>
      <c r="J62" s="12">
        <f t="shared" si="47"/>
        <v>0.15543801962723558</v>
      </c>
      <c r="K62" s="40">
        <f t="shared" si="48"/>
        <v>9.0597857317982395</v>
      </c>
      <c r="L62" s="64">
        <f t="shared" si="49"/>
        <v>1040.3732926630796</v>
      </c>
      <c r="M62" s="27">
        <v>984.79664891381503</v>
      </c>
      <c r="N62" s="98" t="s">
        <v>130</v>
      </c>
      <c r="O62" s="46">
        <f>SUM('Datos Gastos GC'!E62:E65)</f>
        <v>7632.8570870000003</v>
      </c>
      <c r="P62" s="12">
        <f t="shared" si="83"/>
        <v>1.7589008989304045E-2</v>
      </c>
      <c r="Q62" s="40">
        <f t="shared" si="84"/>
        <v>1.0251845273114009</v>
      </c>
      <c r="R62" s="64">
        <f t="shared" si="85"/>
        <v>7660.8395195394351</v>
      </c>
      <c r="T62" s="98" t="s">
        <v>130</v>
      </c>
      <c r="U62" s="46">
        <f>SUM('Datos Gastos GC'!H62:H65)</f>
        <v>1839.9999749999999</v>
      </c>
      <c r="V62" s="40">
        <f t="shared" si="86"/>
        <v>6.2256316665706413E-2</v>
      </c>
      <c r="W62" s="64">
        <f t="shared" si="87"/>
        <v>3.6286417621307097</v>
      </c>
      <c r="X62" s="64">
        <f t="shared" si="88"/>
        <v>1863.9871402510878</v>
      </c>
      <c r="Z62" s="98" t="s">
        <v>130</v>
      </c>
      <c r="AA62" s="46">
        <f>SUM('Datos Gastos GC'!K62:K65)</f>
        <v>2665.2273502782409</v>
      </c>
      <c r="AB62" s="12">
        <f t="shared" si="89"/>
        <v>9.761209991667763E-2</v>
      </c>
      <c r="AC62" s="64">
        <f t="shared" si="90"/>
        <v>5.6893719580111455</v>
      </c>
      <c r="AD62" s="64">
        <f t="shared" si="91"/>
        <v>2719.9059389486542</v>
      </c>
      <c r="AF62" s="98" t="str">
        <f>+AY62</f>
        <v>2013 Q2</v>
      </c>
      <c r="AG62" s="46">
        <f>SUM('Datos Gastos GC'!N62:N65)</f>
        <v>6693.7366162534709</v>
      </c>
      <c r="AH62" s="12">
        <f t="shared" si="92"/>
        <v>6.3071708225916678E-2</v>
      </c>
      <c r="AI62" s="64">
        <f t="shared" si="93"/>
        <v>3.6761672828542591</v>
      </c>
      <c r="AJ62" s="64">
        <f t="shared" si="94"/>
        <v>6782.1499604163018</v>
      </c>
      <c r="AK62" s="27">
        <v>7101.0295534406996</v>
      </c>
      <c r="AL62" s="98" t="str">
        <f>+AY62</f>
        <v>2013 Q2</v>
      </c>
      <c r="AM62" s="46">
        <f>SUM('Datos Gastos GC'!Q62:Q65)</f>
        <v>2906.9899498400005</v>
      </c>
      <c r="AN62" s="64">
        <f t="shared" si="95"/>
        <v>-4.073500946580122E-2</v>
      </c>
      <c r="AO62" s="64">
        <f t="shared" si="96"/>
        <v>-2.3742611905888422</v>
      </c>
      <c r="AP62" s="64">
        <f t="shared" si="97"/>
        <v>2882.4578640651553</v>
      </c>
      <c r="AQ62" s="27">
        <v>3107.6903452544898</v>
      </c>
      <c r="AR62" s="98" t="str">
        <f>+AY62</f>
        <v>2013 Q2</v>
      </c>
      <c r="AS62" s="46">
        <f>SUM('Datos Gastos GC'!T62:T65)</f>
        <v>22746.078380876017</v>
      </c>
      <c r="AT62" s="64">
        <f t="shared" si="98"/>
        <v>4.0530101600059654E-2</v>
      </c>
      <c r="AU62" s="64">
        <f t="shared" si="99"/>
        <v>2.3623180291742107</v>
      </c>
      <c r="AV62" s="64">
        <f t="shared" si="100"/>
        <v>22938.688295658296</v>
      </c>
      <c r="AW62" s="27">
        <v>23235.057748041501</v>
      </c>
      <c r="AY62" s="255" t="s">
        <v>130</v>
      </c>
      <c r="AZ62" s="251">
        <f t="shared" si="75"/>
        <v>1040.3732926630796</v>
      </c>
      <c r="BA62" s="251">
        <f t="shared" si="76"/>
        <v>7660.8395195394351</v>
      </c>
      <c r="BB62" s="251">
        <f t="shared" si="77"/>
        <v>1863.9871402510878</v>
      </c>
      <c r="BC62" s="251">
        <f t="shared" si="78"/>
        <v>2719.9059389486542</v>
      </c>
      <c r="BD62" s="251">
        <f t="shared" si="79"/>
        <v>6782.1499604163018</v>
      </c>
      <c r="BE62" s="251">
        <f t="shared" si="80"/>
        <v>2882.4578640651553</v>
      </c>
      <c r="BF62" s="251">
        <f t="shared" si="71"/>
        <v>22949.713715883714</v>
      </c>
      <c r="BG62" s="64">
        <f t="shared" si="81"/>
        <v>22746.078380876021</v>
      </c>
      <c r="BH62" s="64">
        <f t="shared" si="82"/>
        <v>21909.340423220634</v>
      </c>
      <c r="BI62" s="64">
        <f t="shared" si="102"/>
        <v>13285.105891402256</v>
      </c>
      <c r="BJ62" s="64">
        <f t="shared" si="73"/>
        <v>13145.351814782549</v>
      </c>
      <c r="BK62" s="64">
        <f t="shared" si="101"/>
        <v>9664.6078244814562</v>
      </c>
      <c r="BL62" s="64">
        <f t="shared" si="74"/>
        <v>9600.7265660934718</v>
      </c>
    </row>
    <row r="63" spans="1:64" x14ac:dyDescent="0.25">
      <c r="A63" s="98" t="s">
        <v>137</v>
      </c>
      <c r="B63" s="220">
        <f>'Ingreso estructural no oil'!K62</f>
        <v>66751.213968114302</v>
      </c>
      <c r="C63" s="40">
        <f>'Ingreso estructural no oil'!L62</f>
        <v>66686.614000000001</v>
      </c>
      <c r="D63" s="12">
        <f t="shared" si="72"/>
        <v>1.0009687096740929</v>
      </c>
      <c r="E63" s="64">
        <f>'Ingreso estructural no oil'!N62</f>
        <v>92985.512000000002</v>
      </c>
      <c r="F63" s="63">
        <f t="shared" ref="F63:F70" si="103">(E63/E62)-1</f>
        <v>2.3462279918435636E-2</v>
      </c>
      <c r="H63" s="98" t="s">
        <v>137</v>
      </c>
      <c r="I63" s="46">
        <f>SUM('Datos Gastos GC'!B63:B66)</f>
        <v>1074.3492090406085</v>
      </c>
      <c r="J63" s="12">
        <f t="shared" ref="J63:J80" si="104">(I63/I62)-1</f>
        <v>6.6597813420269825E-2</v>
      </c>
      <c r="K63" s="40">
        <f t="shared" ref="K63:K70" si="105">J63/F63</f>
        <v>2.8385056205872035</v>
      </c>
      <c r="L63" s="64">
        <f t="shared" ref="L63:L78" si="106">I63*((D63)^K63)</f>
        <v>1077.3059653406251</v>
      </c>
      <c r="M63" s="27">
        <v>1053.40097537416</v>
      </c>
      <c r="N63" s="98" t="s">
        <v>137</v>
      </c>
      <c r="O63" s="46">
        <f>SUM('Datos Gastos GC'!E63:E66)</f>
        <v>7781.5015300000005</v>
      </c>
      <c r="P63" s="12">
        <f t="shared" si="83"/>
        <v>1.9474286142886932E-2</v>
      </c>
      <c r="Q63" s="40">
        <f t="shared" si="84"/>
        <v>0.83002530915952832</v>
      </c>
      <c r="R63" s="64">
        <f t="shared" si="85"/>
        <v>7787.7577589929306</v>
      </c>
      <c r="T63" s="98" t="s">
        <v>137</v>
      </c>
      <c r="U63" s="46">
        <f>SUM('Datos Gastos GC'!H63:H66)</f>
        <v>1921.43568811</v>
      </c>
      <c r="V63" s="40">
        <f t="shared" si="86"/>
        <v>4.4258540335034624E-2</v>
      </c>
      <c r="W63" s="64">
        <f t="shared" si="87"/>
        <v>1.8863699729478631</v>
      </c>
      <c r="X63" s="64">
        <f t="shared" si="88"/>
        <v>1924.9483210360136</v>
      </c>
      <c r="Z63" s="98" t="s">
        <v>137</v>
      </c>
      <c r="AA63" s="46">
        <f>SUM('Datos Gastos GC'!K63:K66)</f>
        <v>2933.9203398524896</v>
      </c>
      <c r="AB63" s="12">
        <f t="shared" si="89"/>
        <v>0.10081428496004219</v>
      </c>
      <c r="AC63" s="64">
        <f t="shared" si="90"/>
        <v>4.2968665155523409</v>
      </c>
      <c r="AD63" s="64">
        <f t="shared" si="91"/>
        <v>2946.152052847749</v>
      </c>
      <c r="AF63" s="98" t="str">
        <f>+AY63</f>
        <v>2013 Q3</v>
      </c>
      <c r="AG63" s="46">
        <f>SUM('Datos Gastos GC'!N63:N66)</f>
        <v>7318.5449507584717</v>
      </c>
      <c r="AH63" s="12">
        <f t="shared" si="92"/>
        <v>9.3342234737450847E-2</v>
      </c>
      <c r="AI63" s="64">
        <f t="shared" si="93"/>
        <v>3.9783957510500327</v>
      </c>
      <c r="AJ63" s="64">
        <f t="shared" si="94"/>
        <v>7346.790682200889</v>
      </c>
      <c r="AK63" s="27">
        <v>7358.8035204278704</v>
      </c>
      <c r="AL63" s="98" t="str">
        <f>+AY63</f>
        <v>2013 Q3</v>
      </c>
      <c r="AM63" s="46">
        <f>SUM('Datos Gastos GC'!Q63:Q66)</f>
        <v>3144.1206787849997</v>
      </c>
      <c r="AN63" s="64">
        <f t="shared" si="95"/>
        <v>8.1572600193561273E-2</v>
      </c>
      <c r="AO63" s="64">
        <f t="shared" si="96"/>
        <v>3.4767550501119495</v>
      </c>
      <c r="AP63" s="64">
        <f t="shared" si="97"/>
        <v>3154.7226803946328</v>
      </c>
      <c r="AQ63" s="27">
        <v>3172.0027952417199</v>
      </c>
      <c r="AR63" s="98" t="str">
        <f>+AY63</f>
        <v>2013 Q3</v>
      </c>
      <c r="AS63" s="46">
        <f>SUM('Datos Gastos GC'!T63:T66)</f>
        <v>24173.872396546569</v>
      </c>
      <c r="AT63" s="64">
        <f t="shared" si="98"/>
        <v>6.2770996906041709E-2</v>
      </c>
      <c r="AU63" s="64">
        <f t="shared" si="99"/>
        <v>2.6754005631276696</v>
      </c>
      <c r="AV63" s="64">
        <f t="shared" si="100"/>
        <v>24236.574344778051</v>
      </c>
      <c r="AW63" s="27">
        <v>23934.949613222299</v>
      </c>
      <c r="AY63" s="255" t="s">
        <v>137</v>
      </c>
      <c r="AZ63" s="251">
        <f t="shared" si="75"/>
        <v>1077.3059653406251</v>
      </c>
      <c r="BA63" s="251">
        <f t="shared" si="76"/>
        <v>7787.7577589929306</v>
      </c>
      <c r="BB63" s="251">
        <f t="shared" si="77"/>
        <v>1924.9483210360136</v>
      </c>
      <c r="BC63" s="251">
        <f t="shared" si="78"/>
        <v>2946.152052847749</v>
      </c>
      <c r="BD63" s="251">
        <f t="shared" si="79"/>
        <v>7346.790682200889</v>
      </c>
      <c r="BE63" s="251">
        <f t="shared" si="80"/>
        <v>3154.7226803946328</v>
      </c>
      <c r="BF63" s="251">
        <f t="shared" si="71"/>
        <v>24237.67746081284</v>
      </c>
      <c r="BG63" s="64">
        <f t="shared" si="81"/>
        <v>24173.872396546569</v>
      </c>
      <c r="BH63" s="64">
        <f t="shared" si="82"/>
        <v>23160.371495472216</v>
      </c>
      <c r="BI63" s="64">
        <f t="shared" si="102"/>
        <v>13736.164098217318</v>
      </c>
      <c r="BJ63" s="64">
        <f t="shared" si="73"/>
        <v>13711.206767003097</v>
      </c>
      <c r="BK63" s="64">
        <f t="shared" si="101"/>
        <v>10501.513362595522</v>
      </c>
      <c r="BL63" s="64">
        <f t="shared" si="74"/>
        <v>10462.665629543471</v>
      </c>
    </row>
    <row r="64" spans="1:64" x14ac:dyDescent="0.25">
      <c r="A64" s="98" t="s">
        <v>138</v>
      </c>
      <c r="B64" s="220">
        <f>'Ingreso estructural no oil'!K63</f>
        <v>67457.314406764606</v>
      </c>
      <c r="C64" s="40">
        <f>'Ingreso estructural no oil'!L63</f>
        <v>67546.127999999997</v>
      </c>
      <c r="D64" s="12">
        <f t="shared" si="72"/>
        <v>0.99868514160818533</v>
      </c>
      <c r="E64" s="64">
        <f>'Ingreso estructural no oil'!N63</f>
        <v>95129.659</v>
      </c>
      <c r="F64" s="63">
        <f t="shared" si="103"/>
        <v>2.3058936321176615E-2</v>
      </c>
      <c r="H64" s="98" t="s">
        <v>138</v>
      </c>
      <c r="I64" s="46">
        <f>SUM('Datos Gastos GC'!B64:B67)</f>
        <v>1168.6098830134349</v>
      </c>
      <c r="J64" s="12">
        <f t="shared" si="104"/>
        <v>8.7737462995854942E-2</v>
      </c>
      <c r="K64" s="40">
        <f t="shared" si="105"/>
        <v>3.804922385568998</v>
      </c>
      <c r="L64" s="64">
        <f t="shared" si="106"/>
        <v>1162.7741773472994</v>
      </c>
      <c r="M64" s="27">
        <v>1123.77217063428</v>
      </c>
      <c r="N64" s="98" t="s">
        <v>138</v>
      </c>
      <c r="O64" s="46">
        <f>SUM('Datos Gastos GC'!E64:E67)</f>
        <v>7897.1278590000002</v>
      </c>
      <c r="P64" s="12">
        <f t="shared" si="83"/>
        <v>1.4859128222776352E-2</v>
      </c>
      <c r="Q64" s="40">
        <f t="shared" si="84"/>
        <v>0.64439781678611896</v>
      </c>
      <c r="R64" s="64">
        <f t="shared" si="85"/>
        <v>7890.43512149872</v>
      </c>
      <c r="T64" s="98" t="s">
        <v>138</v>
      </c>
      <c r="U64" s="46">
        <f>SUM('Datos Gastos GC'!H64:H67)</f>
        <v>2034.7526951099999</v>
      </c>
      <c r="V64" s="40">
        <f t="shared" si="86"/>
        <v>5.8975175542546054E-2</v>
      </c>
      <c r="W64" s="64">
        <f t="shared" si="87"/>
        <v>2.5575843881569278</v>
      </c>
      <c r="X64" s="64">
        <f t="shared" si="88"/>
        <v>2027.9171091362318</v>
      </c>
      <c r="Z64" s="98" t="s">
        <v>138</v>
      </c>
      <c r="AA64" s="46">
        <f>SUM('Datos Gastos GC'!K64:K67)</f>
        <v>3206.9820799556678</v>
      </c>
      <c r="AB64" s="12">
        <f t="shared" si="89"/>
        <v>9.3070604676644741E-2</v>
      </c>
      <c r="AC64" s="64">
        <f t="shared" si="90"/>
        <v>4.0362054597970145</v>
      </c>
      <c r="AD64" s="64">
        <f t="shared" si="91"/>
        <v>3189.996444506693</v>
      </c>
      <c r="AF64" s="98" t="str">
        <f>+AY64</f>
        <v>2013 Q4</v>
      </c>
      <c r="AG64" s="46">
        <f>SUM('Datos Gastos GC'!N64:N67)</f>
        <v>8505.671453035</v>
      </c>
      <c r="AH64" s="12">
        <f t="shared" si="92"/>
        <v>0.16220799493121896</v>
      </c>
      <c r="AI64" s="64">
        <f t="shared" si="93"/>
        <v>7.0344959833317269</v>
      </c>
      <c r="AJ64" s="64">
        <f t="shared" si="94"/>
        <v>8427.3108083345633</v>
      </c>
      <c r="AK64" s="27">
        <v>7562.9925629673298</v>
      </c>
      <c r="AL64" s="98" t="str">
        <f>+AY64</f>
        <v>2013 Q4</v>
      </c>
      <c r="AM64" s="46">
        <f>SUM('Datos Gastos GC'!Q64:Q67)</f>
        <v>3048.1307795950001</v>
      </c>
      <c r="AN64" s="64">
        <f t="shared" si="95"/>
        <v>-3.0529966561936628E-2</v>
      </c>
      <c r="AO64" s="64">
        <f t="shared" si="96"/>
        <v>-1.3239971756155486</v>
      </c>
      <c r="AP64" s="64">
        <f t="shared" si="97"/>
        <v>3053.4452946358178</v>
      </c>
      <c r="AQ64" s="27">
        <v>3244.2096645501701</v>
      </c>
      <c r="AR64" s="98" t="str">
        <f>+AY64</f>
        <v>2013 Q4</v>
      </c>
      <c r="AS64" s="46">
        <f>SUM('Datos Gastos GC'!T64:T67)</f>
        <v>25861.2747497091</v>
      </c>
      <c r="AT64" s="64">
        <f t="shared" si="98"/>
        <v>6.9802732697620717E-2</v>
      </c>
      <c r="AU64" s="64">
        <f t="shared" si="99"/>
        <v>3.0271445189566721</v>
      </c>
      <c r="AV64" s="64">
        <f t="shared" si="100"/>
        <v>25758.477107246639</v>
      </c>
      <c r="AW64" s="27">
        <v>24553.396901906501</v>
      </c>
      <c r="AY64" s="255" t="s">
        <v>138</v>
      </c>
      <c r="AZ64" s="251">
        <f t="shared" si="75"/>
        <v>1162.7741773472994</v>
      </c>
      <c r="BA64" s="251">
        <f t="shared" si="76"/>
        <v>7890.43512149872</v>
      </c>
      <c r="BB64" s="251">
        <f t="shared" si="77"/>
        <v>2027.9171091362318</v>
      </c>
      <c r="BC64" s="251">
        <f t="shared" si="78"/>
        <v>3189.996444506693</v>
      </c>
      <c r="BD64" s="251">
        <f t="shared" si="79"/>
        <v>8427.3108083345633</v>
      </c>
      <c r="BE64" s="251">
        <f t="shared" si="80"/>
        <v>3053.4452946358178</v>
      </c>
      <c r="BF64" s="251">
        <f t="shared" si="71"/>
        <v>25751.878955459324</v>
      </c>
      <c r="BG64" s="64">
        <f t="shared" si="81"/>
        <v>25861.2747497091</v>
      </c>
      <c r="BH64" s="64">
        <f t="shared" si="82"/>
        <v>24589.104778112025</v>
      </c>
      <c r="BI64" s="64">
        <f t="shared" si="102"/>
        <v>14271.122852488943</v>
      </c>
      <c r="BJ64" s="64">
        <f t="shared" si="73"/>
        <v>14307.472517079101</v>
      </c>
      <c r="BK64" s="64">
        <f t="shared" si="101"/>
        <v>11480.756102970381</v>
      </c>
      <c r="BL64" s="64">
        <f t="shared" si="74"/>
        <v>11553.80223263</v>
      </c>
    </row>
    <row r="65" spans="1:64" x14ac:dyDescent="0.25">
      <c r="A65" s="98" t="s">
        <v>140</v>
      </c>
      <c r="B65" s="220">
        <f>'Ingreso estructural no oil'!K64</f>
        <v>68094.205046012998</v>
      </c>
      <c r="C65" s="40">
        <f>'Ingreso estructural no oil'!L64</f>
        <v>68183.490999999995</v>
      </c>
      <c r="D65" s="12">
        <f t="shared" si="72"/>
        <v>0.99869050480288557</v>
      </c>
      <c r="E65" s="64">
        <f>'Ingreso estructural no oil'!N64</f>
        <v>96941.365000000005</v>
      </c>
      <c r="F65" s="63">
        <f t="shared" si="103"/>
        <v>1.9044596806554459E-2</v>
      </c>
      <c r="H65" s="98" t="s">
        <v>140</v>
      </c>
      <c r="I65" s="46">
        <f>SUM('Datos Gastos GC'!B65:B68)</f>
        <v>1248.5563429157246</v>
      </c>
      <c r="J65" s="12">
        <f t="shared" si="104"/>
        <v>6.8411589756656621E-2</v>
      </c>
      <c r="K65" s="40">
        <f t="shared" si="105"/>
        <v>3.5921784247546702</v>
      </c>
      <c r="L65" s="64">
        <f t="shared" si="106"/>
        <v>1242.693169390139</v>
      </c>
      <c r="M65" s="27">
        <v>1195.25644552467</v>
      </c>
      <c r="N65" s="98" t="s">
        <v>140</v>
      </c>
      <c r="O65" s="46">
        <f>SUM('Datos Gastos GC'!E65:E68)</f>
        <v>7917.1027089999998</v>
      </c>
      <c r="P65" s="12">
        <f t="shared" si="83"/>
        <v>2.5293816127385238E-3</v>
      </c>
      <c r="Q65" s="40">
        <f t="shared" si="84"/>
        <v>0.13281360789260724</v>
      </c>
      <c r="R65" s="64">
        <f t="shared" si="85"/>
        <v>7915.7249936986491</v>
      </c>
      <c r="T65" s="98" t="s">
        <v>140</v>
      </c>
      <c r="U65" s="46">
        <f>SUM('Datos Gastos GC'!H65:H68)</f>
        <v>2072.9699701099998</v>
      </c>
      <c r="V65" s="40">
        <f t="shared" si="86"/>
        <v>1.8782270244362076E-2</v>
      </c>
      <c r="W65" s="64">
        <f t="shared" si="87"/>
        <v>0.98622566994423844</v>
      </c>
      <c r="X65" s="64">
        <f t="shared" si="88"/>
        <v>2070.2927927632522</v>
      </c>
      <c r="Z65" s="98" t="s">
        <v>140</v>
      </c>
      <c r="AA65" s="46">
        <f>SUM('Datos Gastos GC'!K65:K68)</f>
        <v>3154.8598074308093</v>
      </c>
      <c r="AB65" s="12">
        <f t="shared" si="89"/>
        <v>-1.625274829274348E-2</v>
      </c>
      <c r="AC65" s="64">
        <f t="shared" si="90"/>
        <v>-0.85340469309121181</v>
      </c>
      <c r="AD65" s="64">
        <f t="shared" si="91"/>
        <v>3158.3897396037983</v>
      </c>
      <c r="AF65" s="98" t="s">
        <v>140</v>
      </c>
      <c r="AG65" s="46">
        <f>SUM('Datos Gastos GC'!N65:N68)</f>
        <v>8526.008608574999</v>
      </c>
      <c r="AH65" s="12">
        <f t="shared" si="92"/>
        <v>2.3910111802805112E-3</v>
      </c>
      <c r="AI65" s="64">
        <f t="shared" si="93"/>
        <v>0.12554800737275845</v>
      </c>
      <c r="AJ65" s="64">
        <f t="shared" si="94"/>
        <v>8524.6060910825108</v>
      </c>
      <c r="AK65" s="27">
        <v>7693.1469578769402</v>
      </c>
      <c r="AL65" s="98" t="s">
        <v>140</v>
      </c>
      <c r="AM65" s="46">
        <f>SUM('Datos Gastos GC'!Q65:Q68)</f>
        <v>3161.9434843649997</v>
      </c>
      <c r="AN65" s="64">
        <f t="shared" si="95"/>
        <v>3.7338524164347575E-2</v>
      </c>
      <c r="AO65" s="64">
        <f t="shared" si="96"/>
        <v>1.9605835998322112</v>
      </c>
      <c r="AP65" s="64">
        <f t="shared" si="97"/>
        <v>3153.8306960750069</v>
      </c>
      <c r="AQ65" s="27">
        <v>3324.2431999896098</v>
      </c>
      <c r="AR65" s="98" t="s">
        <v>140</v>
      </c>
      <c r="AS65" s="46">
        <f>SUM('Datos Gastos GC'!T65:T68)</f>
        <v>26081.440922396534</v>
      </c>
      <c r="AT65" s="64">
        <f t="shared" si="98"/>
        <v>8.5133534529233668E-3</v>
      </c>
      <c r="AU65" s="64">
        <f t="shared" si="99"/>
        <v>0.44702198420884287</v>
      </c>
      <c r="AV65" s="64">
        <f t="shared" si="100"/>
        <v>26066.168015921769</v>
      </c>
      <c r="AW65" s="27">
        <v>25059.9133777063</v>
      </c>
      <c r="AY65" s="255" t="s">
        <v>140</v>
      </c>
      <c r="AZ65" s="251">
        <f t="shared" si="75"/>
        <v>1242.693169390139</v>
      </c>
      <c r="BA65" s="251">
        <f t="shared" si="76"/>
        <v>7915.7249936986491</v>
      </c>
      <c r="BB65" s="251">
        <f t="shared" si="77"/>
        <v>2070.2927927632522</v>
      </c>
      <c r="BC65" s="251">
        <f t="shared" si="78"/>
        <v>3158.3897396037983</v>
      </c>
      <c r="BD65" s="251">
        <f t="shared" si="79"/>
        <v>8524.6060910825108</v>
      </c>
      <c r="BE65" s="251">
        <f t="shared" si="80"/>
        <v>3153.8306960750069</v>
      </c>
      <c r="BF65" s="251">
        <f t="shared" si="71"/>
        <v>26065.537482613356</v>
      </c>
      <c r="BG65" s="64">
        <f t="shared" si="81"/>
        <v>26081.440922396534</v>
      </c>
      <c r="BH65" s="64">
        <f t="shared" si="82"/>
        <v>24822.844313223217</v>
      </c>
      <c r="BI65" s="64">
        <f t="shared" si="102"/>
        <v>14387.10069545584</v>
      </c>
      <c r="BJ65" s="64">
        <f t="shared" si="73"/>
        <v>14393.488829456535</v>
      </c>
      <c r="BK65" s="64">
        <f t="shared" si="101"/>
        <v>11678.436787157518</v>
      </c>
      <c r="BL65" s="64">
        <f t="shared" si="74"/>
        <v>11687.952092939999</v>
      </c>
    </row>
    <row r="66" spans="1:64" x14ac:dyDescent="0.25">
      <c r="A66" s="98" t="s">
        <v>139</v>
      </c>
      <c r="B66" s="220">
        <f>'Ingreso estructural no oil'!K65</f>
        <v>68651.605718666993</v>
      </c>
      <c r="C66" s="40">
        <f>'Ingreso estructural no oil'!L65</f>
        <v>68875.313999999998</v>
      </c>
      <c r="D66" s="12">
        <f t="shared" si="72"/>
        <v>0.99675198168486023</v>
      </c>
      <c r="E66" s="64">
        <f>'Ingreso estructural no oil'!N65</f>
        <v>99043.320999999996</v>
      </c>
      <c r="F66" s="63">
        <f t="shared" si="103"/>
        <v>2.1682756375464685E-2</v>
      </c>
      <c r="H66" s="98" t="s">
        <v>139</v>
      </c>
      <c r="I66" s="46">
        <f>SUM('Datos Gastos GC'!B66:B69)</f>
        <v>1242.8042482629385</v>
      </c>
      <c r="J66" s="12">
        <f t="shared" si="104"/>
        <v>-4.6069964606910707E-3</v>
      </c>
      <c r="K66" s="40">
        <f t="shared" si="105"/>
        <v>-0.21247282314642241</v>
      </c>
      <c r="L66" s="64">
        <f t="shared" si="106"/>
        <v>1243.6636197711919</v>
      </c>
      <c r="M66" s="27">
        <v>1267.6522891694999</v>
      </c>
      <c r="N66" s="98" t="s">
        <v>139</v>
      </c>
      <c r="O66" s="46">
        <f>SUM('Datos Gastos GC'!E66:E69)</f>
        <v>7988.4846691400217</v>
      </c>
      <c r="P66" s="12">
        <f t="shared" si="83"/>
        <v>9.0161720472410334E-3</v>
      </c>
      <c r="Q66" s="40">
        <f t="shared" si="84"/>
        <v>0.41582222717049772</v>
      </c>
      <c r="R66" s="64">
        <f t="shared" si="85"/>
        <v>7977.6851826009233</v>
      </c>
      <c r="T66" s="98" t="s">
        <v>139</v>
      </c>
      <c r="U66" s="46">
        <f>SUM('Datos Gastos GC'!H66:H69)</f>
        <v>2131.9344640199997</v>
      </c>
      <c r="V66" s="40">
        <f t="shared" si="86"/>
        <v>2.8444451564761941E-2</v>
      </c>
      <c r="W66" s="64">
        <f t="shared" si="87"/>
        <v>1.311846661568753</v>
      </c>
      <c r="X66" s="64">
        <f t="shared" si="88"/>
        <v>2122.85510416528</v>
      </c>
      <c r="Z66" s="98" t="s">
        <v>139</v>
      </c>
      <c r="AA66" s="46">
        <f>SUM('Datos Gastos GC'!K66:K69)</f>
        <v>3078.0800895193852</v>
      </c>
      <c r="AB66" s="12">
        <f t="shared" si="89"/>
        <v>-2.4336966647640179E-2</v>
      </c>
      <c r="AC66" s="64">
        <f t="shared" si="90"/>
        <v>-1.1224111098337519</v>
      </c>
      <c r="AD66" s="64">
        <f t="shared" si="91"/>
        <v>3089.3403843217375</v>
      </c>
      <c r="AF66" s="98" t="str">
        <f>+AY66</f>
        <v>2014 Q2</v>
      </c>
      <c r="AG66" s="46">
        <f>SUM('Datos Gastos GC'!N66:N69)</f>
        <v>8411.539303345</v>
      </c>
      <c r="AH66" s="12">
        <f t="shared" si="92"/>
        <v>-1.3425896041774132E-2</v>
      </c>
      <c r="AI66" s="64">
        <f t="shared" si="93"/>
        <v>-0.61919692355010381</v>
      </c>
      <c r="AJ66" s="64">
        <f t="shared" si="94"/>
        <v>8428.5008907713709</v>
      </c>
      <c r="AK66" s="27">
        <v>7738.2470563448796</v>
      </c>
      <c r="AL66" s="98" t="str">
        <f>+AY66</f>
        <v>2014 Q2</v>
      </c>
      <c r="AM66" s="46">
        <f>SUM('Datos Gastos GC'!Q66:Q69)</f>
        <v>3300.3411353150004</v>
      </c>
      <c r="AN66" s="64">
        <f t="shared" si="95"/>
        <v>4.3769805385308613E-2</v>
      </c>
      <c r="AO66" s="64">
        <f t="shared" si="96"/>
        <v>2.0186458136308132</v>
      </c>
      <c r="AP66" s="64">
        <f t="shared" si="97"/>
        <v>3278.7379198126982</v>
      </c>
      <c r="AQ66" s="27">
        <v>3410.0735517243602</v>
      </c>
      <c r="AR66" s="98" t="str">
        <f>+AY66</f>
        <v>2014 Q2</v>
      </c>
      <c r="AS66" s="46">
        <f>SUM('Datos Gastos GC'!T66:T69)</f>
        <v>26153.183909602343</v>
      </c>
      <c r="AT66" s="64">
        <f t="shared" si="98"/>
        <v>2.7507294332116405E-3</v>
      </c>
      <c r="AU66" s="64">
        <f t="shared" si="99"/>
        <v>0.12686253470634631</v>
      </c>
      <c r="AV66" s="64">
        <f t="shared" si="100"/>
        <v>26142.392130236898</v>
      </c>
      <c r="AW66" s="27">
        <v>25437.0888352152</v>
      </c>
      <c r="AY66" s="255" t="s">
        <v>139</v>
      </c>
      <c r="AZ66" s="251">
        <f t="shared" si="75"/>
        <v>1243.6636197711919</v>
      </c>
      <c r="BA66" s="251">
        <f t="shared" si="76"/>
        <v>7977.6851826009233</v>
      </c>
      <c r="BB66" s="251">
        <f t="shared" si="77"/>
        <v>2122.85510416528</v>
      </c>
      <c r="BC66" s="251">
        <f t="shared" si="78"/>
        <v>3089.3403843217375</v>
      </c>
      <c r="BD66" s="251">
        <f t="shared" si="79"/>
        <v>8428.5008907713709</v>
      </c>
      <c r="BE66" s="251">
        <f t="shared" si="80"/>
        <v>3278.7379198126982</v>
      </c>
      <c r="BF66" s="251">
        <f t="shared" si="71"/>
        <v>26140.783101443201</v>
      </c>
      <c r="BG66" s="64">
        <f t="shared" si="81"/>
        <v>26153.183909602347</v>
      </c>
      <c r="BH66" s="64">
        <f t="shared" si="82"/>
        <v>24897.119481672009</v>
      </c>
      <c r="BI66" s="64">
        <f t="shared" si="102"/>
        <v>14433.544290859132</v>
      </c>
      <c r="BJ66" s="64">
        <f t="shared" si="73"/>
        <v>14441.303470942345</v>
      </c>
      <c r="BK66" s="64">
        <f t="shared" si="101"/>
        <v>11707.238810584069</v>
      </c>
      <c r="BL66" s="64">
        <f t="shared" si="74"/>
        <v>11711.88043866</v>
      </c>
    </row>
    <row r="67" spans="1:64" x14ac:dyDescent="0.25">
      <c r="A67" s="98" t="s">
        <v>141</v>
      </c>
      <c r="B67" s="220">
        <f>'Ingreso estructural no oil'!K66</f>
        <v>69120.129207074206</v>
      </c>
      <c r="C67" s="40">
        <f>'Ingreso estructural no oil'!L66</f>
        <v>69479.71699999999</v>
      </c>
      <c r="D67" s="12">
        <f t="shared" si="72"/>
        <v>0.99482456451390289</v>
      </c>
      <c r="E67" s="64">
        <f>'Ingreso estructural no oil'!N66</f>
        <v>100747.659</v>
      </c>
      <c r="F67" s="63">
        <f t="shared" si="103"/>
        <v>1.7208005373729351E-2</v>
      </c>
      <c r="H67" s="98" t="s">
        <v>141</v>
      </c>
      <c r="I67" s="46">
        <f>SUM('Datos Gastos GC'!B67:B70)</f>
        <v>1301.7391939599618</v>
      </c>
      <c r="J67" s="12">
        <f t="shared" si="104"/>
        <v>4.7420940006760004E-2</v>
      </c>
      <c r="K67" s="40">
        <f t="shared" si="105"/>
        <v>2.7557487911501535</v>
      </c>
      <c r="L67" s="64">
        <f t="shared" si="106"/>
        <v>1283.2577700213742</v>
      </c>
      <c r="M67" s="27">
        <v>1341.2956262376699</v>
      </c>
      <c r="N67" s="98" t="s">
        <v>141</v>
      </c>
      <c r="O67" s="46">
        <f>SUM('Datos Gastos GC'!E67:E70)</f>
        <v>8145.2392751400212</v>
      </c>
      <c r="P67" s="12">
        <f t="shared" si="83"/>
        <v>1.9622570799384675E-2</v>
      </c>
      <c r="Q67" s="40">
        <f t="shared" si="84"/>
        <v>1.14031640351191</v>
      </c>
      <c r="R67" s="64">
        <f t="shared" si="85"/>
        <v>8097.1865344672187</v>
      </c>
      <c r="T67" s="98" t="s">
        <v>141</v>
      </c>
      <c r="U67" s="46">
        <f>SUM('Datos Gastos GC'!H67:H70)</f>
        <v>2290.0034351799995</v>
      </c>
      <c r="V67" s="40">
        <f t="shared" si="86"/>
        <v>7.4143447571996646E-2</v>
      </c>
      <c r="W67" s="64">
        <f t="shared" si="87"/>
        <v>4.3086601823816224</v>
      </c>
      <c r="X67" s="64">
        <f t="shared" si="88"/>
        <v>2239.3736829626023</v>
      </c>
      <c r="Z67" s="98" t="s">
        <v>141</v>
      </c>
      <c r="AA67" s="46">
        <f>SUM('Datos Gastos GC'!K67:K70)</f>
        <v>2897.8295591322953</v>
      </c>
      <c r="AB67" s="12">
        <f t="shared" si="89"/>
        <v>-5.8559402336810007E-2</v>
      </c>
      <c r="AC67" s="64">
        <f t="shared" si="90"/>
        <v>-3.4030325458992405</v>
      </c>
      <c r="AD67" s="64">
        <f t="shared" si="91"/>
        <v>2949.4536136734419</v>
      </c>
      <c r="AF67" s="98" t="str">
        <f>+AY67</f>
        <v>2014 Q3</v>
      </c>
      <c r="AG67" s="46">
        <f>SUM('Datos Gastos GC'!N67:N70)</f>
        <v>8514.2655016799981</v>
      </c>
      <c r="AH67" s="12">
        <f t="shared" si="92"/>
        <v>1.2212532644785723E-2</v>
      </c>
      <c r="AI67" s="64">
        <f t="shared" si="93"/>
        <v>0.70970065266425475</v>
      </c>
      <c r="AJ67" s="64">
        <f t="shared" si="94"/>
        <v>8482.9689747284592</v>
      </c>
      <c r="AK67" s="27">
        <v>7695.6017399805696</v>
      </c>
      <c r="AL67" s="98" t="str">
        <f>+AY67</f>
        <v>2014 Q3</v>
      </c>
      <c r="AM67" s="46">
        <f>SUM('Datos Gastos GC'!Q67:Q70)</f>
        <v>3457.3972966799997</v>
      </c>
      <c r="AN67" s="64">
        <f t="shared" si="95"/>
        <v>4.7587856808023243E-2</v>
      </c>
      <c r="AO67" s="64">
        <f t="shared" si="96"/>
        <v>2.7654487417044495</v>
      </c>
      <c r="AP67" s="64">
        <f t="shared" si="97"/>
        <v>3408.1394048841689</v>
      </c>
      <c r="AQ67" s="27">
        <v>3498.0484379187901</v>
      </c>
      <c r="AR67" s="98" t="str">
        <f>+AY67</f>
        <v>2014 Q3</v>
      </c>
      <c r="AS67" s="46">
        <f>SUM('Datos Gastos GC'!T67:T70)</f>
        <v>26606.474261772277</v>
      </c>
      <c r="AT67" s="64">
        <f t="shared" si="98"/>
        <v>1.7332128804535607E-2</v>
      </c>
      <c r="AU67" s="64">
        <f t="shared" si="99"/>
        <v>1.007213121341521</v>
      </c>
      <c r="AV67" s="64">
        <f t="shared" si="100"/>
        <v>26467.783516481311</v>
      </c>
      <c r="AW67" s="27">
        <v>25677.723935249302</v>
      </c>
      <c r="AY67" s="255" t="s">
        <v>141</v>
      </c>
      <c r="AZ67" s="251">
        <f t="shared" si="75"/>
        <v>1283.2577700213742</v>
      </c>
      <c r="BA67" s="251">
        <f t="shared" si="76"/>
        <v>8097.1865344672187</v>
      </c>
      <c r="BB67" s="251">
        <f t="shared" si="77"/>
        <v>2239.3736829626023</v>
      </c>
      <c r="BC67" s="251">
        <f t="shared" si="78"/>
        <v>2949.4536136734419</v>
      </c>
      <c r="BD67" s="251">
        <f t="shared" si="79"/>
        <v>8482.9689747284592</v>
      </c>
      <c r="BE67" s="251">
        <f t="shared" si="80"/>
        <v>3408.1394048841689</v>
      </c>
      <c r="BF67" s="251">
        <f t="shared" si="71"/>
        <v>26460.379980737263</v>
      </c>
      <c r="BG67" s="64">
        <f t="shared" si="81"/>
        <v>26606.474261772273</v>
      </c>
      <c r="BH67" s="64">
        <f t="shared" si="82"/>
        <v>25177.12221071589</v>
      </c>
      <c r="BI67" s="64">
        <f t="shared" si="102"/>
        <v>14569.271601124638</v>
      </c>
      <c r="BJ67" s="64">
        <f t="shared" si="73"/>
        <v>14634.811463412278</v>
      </c>
      <c r="BK67" s="64">
        <f t="shared" si="101"/>
        <v>11891.108379612628</v>
      </c>
      <c r="BL67" s="64">
        <f t="shared" si="74"/>
        <v>11971.662798359997</v>
      </c>
    </row>
    <row r="68" spans="1:64" x14ac:dyDescent="0.25">
      <c r="A68" s="98" t="s">
        <v>142</v>
      </c>
      <c r="B68" s="220">
        <f>'Ingreso estructural no oil'!K67</f>
        <v>69492.625236395295</v>
      </c>
      <c r="C68" s="40">
        <f>'Ingreso estructural no oil'!L67</f>
        <v>70105.361999999994</v>
      </c>
      <c r="D68" s="12">
        <f t="shared" si="72"/>
        <v>0.99125977320244496</v>
      </c>
      <c r="E68" s="64">
        <f>'Ingreso estructural no oil'!N67</f>
        <v>101726.33100000001</v>
      </c>
      <c r="F68" s="63">
        <f t="shared" si="103"/>
        <v>9.7140917189948439E-3</v>
      </c>
      <c r="H68" s="98" t="s">
        <v>142</v>
      </c>
      <c r="I68" s="46">
        <f>SUM('Datos Gastos GC'!B68:B71)</f>
        <v>1397.0802130056613</v>
      </c>
      <c r="J68" s="12">
        <f t="shared" si="104"/>
        <v>7.3241260221770688E-2</v>
      </c>
      <c r="K68" s="40">
        <f t="shared" si="105"/>
        <v>7.5396920618481928</v>
      </c>
      <c r="L68" s="64">
        <f t="shared" si="106"/>
        <v>1307.6036725968563</v>
      </c>
      <c r="M68" s="27">
        <v>1416.27585850642</v>
      </c>
      <c r="N68" s="98" t="s">
        <v>142</v>
      </c>
      <c r="O68" s="46">
        <f>SUM('Datos Gastos GC'!E68:E71)</f>
        <v>8358.968094140022</v>
      </c>
      <c r="P68" s="12">
        <f t="shared" si="83"/>
        <v>2.6239722588913938E-2</v>
      </c>
      <c r="Q68" s="40">
        <f t="shared" si="84"/>
        <v>2.70120185684525</v>
      </c>
      <c r="R68" s="64">
        <f t="shared" si="85"/>
        <v>8163.0844121672371</v>
      </c>
      <c r="T68" s="98" t="s">
        <v>142</v>
      </c>
      <c r="U68" s="46">
        <f>SUM('Datos Gastos GC'!H68:H71)</f>
        <v>2490.2311267273908</v>
      </c>
      <c r="V68" s="40">
        <f t="shared" si="86"/>
        <v>8.7435542004614009E-2</v>
      </c>
      <c r="W68" s="64">
        <f t="shared" si="87"/>
        <v>9.0008973081490851</v>
      </c>
      <c r="X68" s="64">
        <f t="shared" si="88"/>
        <v>2301.0368633824037</v>
      </c>
      <c r="Z68" s="98" t="s">
        <v>142</v>
      </c>
      <c r="AA68" s="46">
        <f>SUM('Datos Gastos GC'!K68:K71)</f>
        <v>2735.2025648249964</v>
      </c>
      <c r="AB68" s="12">
        <f t="shared" si="89"/>
        <v>-5.6120275878473236E-2</v>
      </c>
      <c r="AC68" s="64">
        <f t="shared" si="90"/>
        <v>-5.7772025941175924</v>
      </c>
      <c r="AD68" s="64">
        <f t="shared" si="91"/>
        <v>2877.4990084146289</v>
      </c>
      <c r="AF68" s="98" t="str">
        <f>+AY68</f>
        <v>2014 Q4</v>
      </c>
      <c r="AG68" s="46">
        <f>SUM('Datos Gastos GC'!N68:N71)</f>
        <v>8289.5297185500003</v>
      </c>
      <c r="AH68" s="12">
        <f t="shared" si="92"/>
        <v>-2.6395204975185882E-2</v>
      </c>
      <c r="AI68" s="64">
        <f t="shared" si="93"/>
        <v>-2.7172077162472066</v>
      </c>
      <c r="AJ68" s="64">
        <f t="shared" si="94"/>
        <v>8489.6404115853857</v>
      </c>
      <c r="AK68" s="27">
        <v>7569.2574198299399</v>
      </c>
      <c r="AL68" s="98" t="str">
        <f>+AY68</f>
        <v>2014 Q4</v>
      </c>
      <c r="AM68" s="46">
        <f>SUM('Datos Gastos GC'!Q68:Q71)</f>
        <v>3522.8532646499998</v>
      </c>
      <c r="AN68" s="64">
        <f t="shared" si="95"/>
        <v>1.8932151081640258E-2</v>
      </c>
      <c r="AO68" s="64">
        <f t="shared" si="96"/>
        <v>1.948936825933042</v>
      </c>
      <c r="AP68" s="64">
        <f t="shared" si="97"/>
        <v>3463.0933454960759</v>
      </c>
      <c r="AQ68" s="27">
        <v>3583.4148412200798</v>
      </c>
      <c r="AR68" s="98" t="str">
        <f>+AY68</f>
        <v>2014 Q4</v>
      </c>
      <c r="AS68" s="46">
        <f>SUM('Datos Gastos GC'!T68:T71)</f>
        <v>26793.86498189807</v>
      </c>
      <c r="AT68" s="64">
        <f t="shared" si="98"/>
        <v>7.0430496834010814E-3</v>
      </c>
      <c r="AU68" s="64">
        <f t="shared" si="99"/>
        <v>0.72503429936009023</v>
      </c>
      <c r="AV68" s="64">
        <f t="shared" si="100"/>
        <v>26623.868429652408</v>
      </c>
      <c r="AW68" s="27">
        <v>25781.778450272799</v>
      </c>
      <c r="AY68" s="255" t="s">
        <v>142</v>
      </c>
      <c r="AZ68" s="251">
        <f t="shared" si="75"/>
        <v>1307.6036725968563</v>
      </c>
      <c r="BA68" s="251">
        <f t="shared" si="76"/>
        <v>8163.0844121672371</v>
      </c>
      <c r="BB68" s="251">
        <f t="shared" si="77"/>
        <v>2301.0368633824037</v>
      </c>
      <c r="BC68" s="251">
        <f t="shared" si="78"/>
        <v>2877.4990084146289</v>
      </c>
      <c r="BD68" s="251">
        <f t="shared" si="79"/>
        <v>8489.6404115853857</v>
      </c>
      <c r="BE68" s="251">
        <f t="shared" si="80"/>
        <v>3463.0933454960759</v>
      </c>
      <c r="BF68" s="251">
        <f t="shared" si="71"/>
        <v>26601.957713642587</v>
      </c>
      <c r="BG68" s="64">
        <f t="shared" si="81"/>
        <v>26793.86498189807</v>
      </c>
      <c r="BH68" s="64">
        <f t="shared" si="82"/>
        <v>25294.354041045732</v>
      </c>
      <c r="BI68" s="64">
        <f t="shared" si="102"/>
        <v>14649.223956561125</v>
      </c>
      <c r="BJ68" s="64">
        <f t="shared" si="73"/>
        <v>14981.481998698071</v>
      </c>
      <c r="BK68" s="64">
        <f t="shared" si="101"/>
        <v>11952.733757081462</v>
      </c>
      <c r="BL68" s="64">
        <f t="shared" si="74"/>
        <v>11812.382983200001</v>
      </c>
    </row>
    <row r="69" spans="1:64" x14ac:dyDescent="0.25">
      <c r="A69" s="98" t="s">
        <v>145</v>
      </c>
      <c r="B69" s="220">
        <f>'Ingreso estructural no oil'!K68</f>
        <v>69765.539239720194</v>
      </c>
      <c r="C69" s="40">
        <f>'Ingreso estructural no oil'!L68</f>
        <v>70825.335999999996</v>
      </c>
      <c r="D69" s="12">
        <f t="shared" si="72"/>
        <v>0.98503647394938154</v>
      </c>
      <c r="E69" s="64">
        <f>'Ingreso estructural no oil'!N68</f>
        <v>101947.57800000001</v>
      </c>
      <c r="F69" s="63">
        <f>F68</f>
        <v>9.7140917189948439E-3</v>
      </c>
      <c r="H69" s="98" t="s">
        <v>145</v>
      </c>
      <c r="I69" s="46">
        <f>SUM('Datos Gastos GC'!B69:B72)</f>
        <v>1486.5864351686298</v>
      </c>
      <c r="J69" s="12">
        <f t="shared" si="104"/>
        <v>6.4066630770187372E-2</v>
      </c>
      <c r="K69" s="40">
        <f t="shared" si="105"/>
        <v>6.5952260513365424</v>
      </c>
      <c r="L69" s="157">
        <v>1492</v>
      </c>
      <c r="M69" s="27">
        <v>1492.28943149058</v>
      </c>
      <c r="N69" s="98" t="s">
        <v>145</v>
      </c>
      <c r="O69" s="46">
        <f>SUM('Datos Gastos GC'!E69:E72)</f>
        <v>8501.2922391400207</v>
      </c>
      <c r="P69" s="12">
        <f t="shared" si="83"/>
        <v>1.7026520905107034E-2</v>
      </c>
      <c r="Q69" s="40">
        <f t="shared" si="84"/>
        <v>1.7527650960731136</v>
      </c>
      <c r="R69" s="64">
        <f t="shared" si="85"/>
        <v>8279.5815184360381</v>
      </c>
      <c r="T69" s="98" t="s">
        <v>145</v>
      </c>
      <c r="U69" s="46">
        <f>SUM('Datos Gastos GC'!H69:H72)</f>
        <v>2524.547284327391</v>
      </c>
      <c r="V69" s="40">
        <f t="shared" si="86"/>
        <v>1.3780310281920727E-2</v>
      </c>
      <c r="W69" s="64">
        <f t="shared" si="87"/>
        <v>1.4185896819333954</v>
      </c>
      <c r="X69" s="64">
        <f t="shared" si="88"/>
        <v>2471.1267759172697</v>
      </c>
      <c r="Z69" s="98" t="s">
        <v>145</v>
      </c>
      <c r="AA69" s="46">
        <f>SUM('Datos Gastos GC'!K69:K72)</f>
        <v>2626.149177643118</v>
      </c>
      <c r="AB69" s="12">
        <f t="shared" si="89"/>
        <v>-3.987031475632441E-2</v>
      </c>
      <c r="AC69" s="64">
        <f t="shared" si="90"/>
        <v>-4.1043790721434483</v>
      </c>
      <c r="AD69" s="64">
        <f t="shared" si="91"/>
        <v>2793.7888940636653</v>
      </c>
      <c r="AF69" s="98" t="s">
        <v>145</v>
      </c>
      <c r="AG69" s="46">
        <f>SUM('Datos Gastos GC'!N69:N72)</f>
        <v>7833.6490346600012</v>
      </c>
      <c r="AH69" s="12">
        <f t="shared" si="92"/>
        <v>-5.4994758372099994E-2</v>
      </c>
      <c r="AI69" s="64">
        <f t="shared" si="93"/>
        <v>-5.6613381840490309</v>
      </c>
      <c r="AJ69" s="64">
        <f t="shared" si="94"/>
        <v>8531.6452141570608</v>
      </c>
      <c r="AK69" s="27">
        <v>7371.4444895391698</v>
      </c>
      <c r="AL69" s="98" t="s">
        <v>145</v>
      </c>
      <c r="AM69" s="46">
        <f>SUM('Datos Gastos GC'!Q69:Q72)</f>
        <v>3672.3685713700002</v>
      </c>
      <c r="AN69" s="64">
        <f t="shared" si="95"/>
        <v>4.2441536870215124E-2</v>
      </c>
      <c r="AO69" s="64">
        <f t="shared" si="96"/>
        <v>4.3690689873995465</v>
      </c>
      <c r="AP69" s="64">
        <f t="shared" si="97"/>
        <v>3438.2619475880542</v>
      </c>
      <c r="AQ69" s="27">
        <v>3661.0092598961801</v>
      </c>
      <c r="AR69" s="98" t="str">
        <f>+AY69</f>
        <v>2015 Q1</v>
      </c>
      <c r="AS69" s="46">
        <f>SUM('Datos Gastos GC'!T69:T72)</f>
        <v>26644.59274230916</v>
      </c>
      <c r="AT69" s="64">
        <f t="shared" si="98"/>
        <v>-5.5711350225045031E-3</v>
      </c>
      <c r="AU69" s="64">
        <f t="shared" si="99"/>
        <v>-0.57351064656006467</v>
      </c>
      <c r="AV69" s="64">
        <f t="shared" si="100"/>
        <v>26875.97666701581</v>
      </c>
      <c r="AW69" s="27">
        <v>25758.494913397299</v>
      </c>
      <c r="AY69" s="255" t="s">
        <v>145</v>
      </c>
      <c r="AZ69" s="251">
        <f t="shared" si="75"/>
        <v>1492</v>
      </c>
      <c r="BA69" s="251">
        <f t="shared" si="76"/>
        <v>8279.5815184360381</v>
      </c>
      <c r="BB69" s="251">
        <f t="shared" si="77"/>
        <v>2471.1267759172697</v>
      </c>
      <c r="BC69" s="251">
        <f t="shared" si="78"/>
        <v>2793.7888940636653</v>
      </c>
      <c r="BD69" s="251">
        <f t="shared" si="79"/>
        <v>8531.6452141570608</v>
      </c>
      <c r="BE69" s="251">
        <f t="shared" si="80"/>
        <v>3438.2619475880542</v>
      </c>
      <c r="BF69" s="251">
        <f>SUM(AZ69:BE69)</f>
        <v>27006.404350162087</v>
      </c>
      <c r="BG69" s="64">
        <f t="shared" si="81"/>
        <v>26644.59274230916</v>
      </c>
      <c r="BH69" s="64">
        <f>BF69-AZ69</f>
        <v>25514.404350162087</v>
      </c>
      <c r="BI69" s="64">
        <f t="shared" si="102"/>
        <v>15036.497188416974</v>
      </c>
      <c r="BJ69" s="64">
        <f t="shared" si="73"/>
        <v>15138.57513627916</v>
      </c>
      <c r="BK69" s="64">
        <f t="shared" si="101"/>
        <v>11969.907161745115</v>
      </c>
      <c r="BL69" s="64">
        <f t="shared" si="74"/>
        <v>11506.017606030002</v>
      </c>
    </row>
    <row r="70" spans="1:64" x14ac:dyDescent="0.25">
      <c r="A70" s="98" t="s">
        <v>147</v>
      </c>
      <c r="B70" s="220">
        <f>'Ingreso estructural no oil'!K69</f>
        <v>69941.444397775107</v>
      </c>
      <c r="C70" s="40">
        <f>'Ingreso estructural no oil'!L69</f>
        <v>70869.042000000001</v>
      </c>
      <c r="D70" s="12">
        <f t="shared" si="72"/>
        <v>0.98691110284480921</v>
      </c>
      <c r="E70" s="64">
        <f>'Ingreso estructural no oil'!N69</f>
        <v>101490.49300000002</v>
      </c>
      <c r="F70" s="63">
        <f t="shared" si="103"/>
        <v>-4.4835297607559443E-3</v>
      </c>
      <c r="H70" s="98" t="s">
        <v>147</v>
      </c>
      <c r="I70" s="46">
        <f>SUM('Datos Gastos GC'!B70:B73)</f>
        <v>1606.1720480389536</v>
      </c>
      <c r="J70" s="12">
        <f t="shared" si="104"/>
        <v>8.0443094354455624E-2</v>
      </c>
      <c r="K70" s="40">
        <f t="shared" si="105"/>
        <v>-17.941911540003371</v>
      </c>
      <c r="L70" s="157">
        <f>1569</f>
        <v>1569</v>
      </c>
      <c r="M70" s="27">
        <v>1568.8400321199299</v>
      </c>
      <c r="N70" s="98" t="s">
        <v>147</v>
      </c>
      <c r="O70" s="46">
        <f>SUM('Datos Gastos GC'!E70:E73)</f>
        <v>8690.7641270000004</v>
      </c>
      <c r="P70" s="12">
        <f t="shared" si="83"/>
        <v>2.2287422021283865E-2</v>
      </c>
      <c r="Q70" s="40">
        <f t="shared" si="84"/>
        <v>-4.9709544065848021</v>
      </c>
      <c r="R70" s="64">
        <f t="shared" si="85"/>
        <v>9279.0088918810416</v>
      </c>
      <c r="T70" s="98" t="s">
        <v>147</v>
      </c>
      <c r="U70" s="46">
        <f>SUM('Datos Gastos GC'!H70:H73)</f>
        <v>2542.5489454173912</v>
      </c>
      <c r="V70" s="40">
        <f t="shared" si="86"/>
        <v>7.1306492065947857E-3</v>
      </c>
      <c r="W70" s="64">
        <f t="shared" si="87"/>
        <v>-1.5904096966209329</v>
      </c>
      <c r="X70" s="64">
        <f t="shared" si="88"/>
        <v>2596.3879861617911</v>
      </c>
      <c r="Z70" s="98" t="s">
        <v>147</v>
      </c>
      <c r="AA70" s="46">
        <f>SUM('Datos Gastos GC'!K70:K73)</f>
        <v>2287.6799271482955</v>
      </c>
      <c r="AB70" s="12">
        <f t="shared" si="89"/>
        <v>-0.12888424365846096</v>
      </c>
      <c r="AC70" s="64">
        <f t="shared" si="90"/>
        <v>28.746155492615816</v>
      </c>
      <c r="AD70" s="64">
        <f t="shared" si="91"/>
        <v>1566.4291693868561</v>
      </c>
      <c r="AF70" s="98" t="s">
        <v>147</v>
      </c>
      <c r="AG70" s="46">
        <f>SUM('Datos Gastos GC'!N70:N73)</f>
        <v>7823.8125331500005</v>
      </c>
      <c r="AH70" s="12">
        <f t="shared" si="92"/>
        <v>-1.2556729905155439E-3</v>
      </c>
      <c r="AI70" s="64">
        <f t="shared" si="93"/>
        <v>0.28006348959838989</v>
      </c>
      <c r="AJ70" s="64">
        <f t="shared" si="94"/>
        <v>7794.9964586776323</v>
      </c>
      <c r="AK70" s="27">
        <v>7121.6007685560999</v>
      </c>
      <c r="AL70" s="98" t="s">
        <v>147</v>
      </c>
      <c r="AM70" s="46">
        <f>SUM('Datos Gastos GC'!Q70:Q73)</f>
        <v>3872.1479762999998</v>
      </c>
      <c r="AN70" s="40">
        <f t="shared" si="95"/>
        <v>5.4400695640271834E-2</v>
      </c>
      <c r="AO70" s="64">
        <f t="shared" si="96"/>
        <v>-12.13345255705398</v>
      </c>
      <c r="AP70" s="64">
        <f t="shared" si="97"/>
        <v>4543.380799734301</v>
      </c>
      <c r="AQ70" s="27">
        <v>3725.0640438028599</v>
      </c>
      <c r="AR70" s="98" t="s">
        <v>147</v>
      </c>
      <c r="AS70" s="46">
        <f>SUM('Datos Gastos GC'!T70:T73)</f>
        <v>26823.125557054642</v>
      </c>
      <c r="AT70" s="40">
        <f t="shared" si="98"/>
        <v>6.7005270627382707E-3</v>
      </c>
      <c r="AU70" s="64">
        <f t="shared" si="99"/>
        <v>-1.494475875099027</v>
      </c>
      <c r="AV70" s="64">
        <f t="shared" si="100"/>
        <v>27356.511877183257</v>
      </c>
      <c r="AW70" s="27">
        <v>25627.238073231601</v>
      </c>
      <c r="AY70" s="255" t="s">
        <v>147</v>
      </c>
      <c r="AZ70" s="251">
        <f t="shared" si="75"/>
        <v>1569</v>
      </c>
      <c r="BA70" s="251">
        <f t="shared" si="76"/>
        <v>9279.0088918810416</v>
      </c>
      <c r="BB70" s="251">
        <f t="shared" si="77"/>
        <v>2596.3879861617911</v>
      </c>
      <c r="BC70" s="251">
        <f t="shared" si="78"/>
        <v>1566.4291693868561</v>
      </c>
      <c r="BD70" s="251">
        <f t="shared" si="79"/>
        <v>7794.9964586776323</v>
      </c>
      <c r="BE70" s="251">
        <f t="shared" si="80"/>
        <v>4543.380799734301</v>
      </c>
      <c r="BF70" s="251">
        <f t="shared" si="71"/>
        <v>27349.20330584162</v>
      </c>
      <c r="BG70" s="64">
        <f t="shared" si="81"/>
        <v>26823.125557054642</v>
      </c>
      <c r="BH70" s="64">
        <f t="shared" si="82"/>
        <v>25780.20330584162</v>
      </c>
      <c r="BI70" s="64">
        <f t="shared" si="102"/>
        <v>15010.826047429689</v>
      </c>
      <c r="BJ70" s="64">
        <f t="shared" si="73"/>
        <v>15127.165047604642</v>
      </c>
      <c r="BK70" s="64">
        <f t="shared" si="101"/>
        <v>12338.377258411932</v>
      </c>
      <c r="BL70" s="64">
        <f t="shared" si="74"/>
        <v>11695.96050945</v>
      </c>
    </row>
    <row r="71" spans="1:64" x14ac:dyDescent="0.25">
      <c r="A71" s="98" t="s">
        <v>148</v>
      </c>
      <c r="B71" s="220">
        <f>'Ingreso estructural no oil'!K70</f>
        <v>70033.511498888707</v>
      </c>
      <c r="C71" s="40">
        <f>'Ingreso estructural no oil'!L70</f>
        <v>70625.244999999995</v>
      </c>
      <c r="D71" s="12">
        <f t="shared" si="72"/>
        <v>0.99162150161586993</v>
      </c>
      <c r="E71" s="64">
        <f>'Ingreso estructural no oil'!N70</f>
        <v>100327.317</v>
      </c>
      <c r="F71" s="63">
        <f t="shared" ref="F71:F84" si="107">(E71/E70)-1</f>
        <v>-1.1460935557777052E-2</v>
      </c>
      <c r="H71" s="98" t="s">
        <v>148</v>
      </c>
      <c r="I71" s="46">
        <f>SUM('Datos Gastos GC'!B71:B74)</f>
        <v>1745.0845380463975</v>
      </c>
      <c r="J71" s="12">
        <f t="shared" si="104"/>
        <v>8.6486681284889899E-2</v>
      </c>
      <c r="K71" s="40">
        <f t="shared" ref="K71:K76" si="108">J71/F71</f>
        <v>-7.5462147787928702</v>
      </c>
      <c r="L71" s="64">
        <f t="shared" si="106"/>
        <v>1859.4770769389886</v>
      </c>
      <c r="M71" s="27">
        <v>1645.3784530093501</v>
      </c>
      <c r="N71" s="98" t="s">
        <v>148</v>
      </c>
      <c r="O71" s="46">
        <f>SUM('Datos Gastos GC'!E71:E74)</f>
        <v>8776.8466619999999</v>
      </c>
      <c r="P71" s="12">
        <f t="shared" si="83"/>
        <v>9.9050594104335143E-3</v>
      </c>
      <c r="Q71" s="40">
        <f t="shared" si="84"/>
        <v>-0.86424527565834131</v>
      </c>
      <c r="R71" s="64">
        <f t="shared" si="85"/>
        <v>8840.9008349065698</v>
      </c>
      <c r="T71" s="98" t="s">
        <v>148</v>
      </c>
      <c r="U71" s="46">
        <f>SUM('Datos Gastos GC'!H71:H74)</f>
        <v>2572.8629201473914</v>
      </c>
      <c r="V71" s="40">
        <f t="shared" si="86"/>
        <v>1.1922671059936496E-2</v>
      </c>
      <c r="W71" s="64">
        <f t="shared" si="87"/>
        <v>-1.0402877670703004</v>
      </c>
      <c r="X71" s="64">
        <f t="shared" si="88"/>
        <v>2595.4814361243557</v>
      </c>
      <c r="Z71" s="98" t="s">
        <v>148</v>
      </c>
      <c r="AA71" s="46">
        <f>SUM('Datos Gastos GC'!K71:K74)</f>
        <v>1930.6473616525227</v>
      </c>
      <c r="AB71" s="12">
        <f t="shared" si="89"/>
        <v>-0.15606753429918463</v>
      </c>
      <c r="AC71" s="64">
        <f t="shared" si="90"/>
        <v>13.617346813653604</v>
      </c>
      <c r="AD71" s="64">
        <f t="shared" si="91"/>
        <v>1721.6477021702062</v>
      </c>
      <c r="AF71" s="98" t="s">
        <v>148</v>
      </c>
      <c r="AG71" s="46">
        <f>SUM('Datos Gastos GC'!N71:N74)</f>
        <v>6524.1310113100008</v>
      </c>
      <c r="AH71" s="12">
        <f t="shared" si="92"/>
        <v>-0.16611869422141246</v>
      </c>
      <c r="AI71" s="64">
        <f t="shared" si="93"/>
        <v>14.494339784389522</v>
      </c>
      <c r="AJ71" s="64">
        <f t="shared" si="94"/>
        <v>5775.0987630540722</v>
      </c>
      <c r="AK71" s="27">
        <v>6843.7896314332002</v>
      </c>
      <c r="AL71" s="98" t="s">
        <v>148</v>
      </c>
      <c r="AM71" s="46">
        <f>SUM('Datos Gastos GC'!Q71:Q74)</f>
        <v>3913.1863588200004</v>
      </c>
      <c r="AN71" s="40">
        <f t="shared" si="95"/>
        <v>1.0598350778736165E-2</v>
      </c>
      <c r="AO71" s="64">
        <f t="shared" si="96"/>
        <v>-0.92473696630677216</v>
      </c>
      <c r="AP71" s="64">
        <f t="shared" si="97"/>
        <v>3943.7518452243216</v>
      </c>
      <c r="AQ71" s="27">
        <v>3769.92145019693</v>
      </c>
      <c r="AR71" s="98" t="s">
        <v>148</v>
      </c>
      <c r="AS71" s="46">
        <f>SUM('Datos Gastos GC'!T71:T74)</f>
        <v>25462.758851976312</v>
      </c>
      <c r="AT71" s="40">
        <f t="shared" si="98"/>
        <v>-5.0716188990904021E-2</v>
      </c>
      <c r="AU71" s="64">
        <f t="shared" si="99"/>
        <v>4.4251351676512583</v>
      </c>
      <c r="AV71" s="64">
        <f t="shared" si="100"/>
        <v>24532.156472571656</v>
      </c>
      <c r="AW71" s="27">
        <v>25416.237729250701</v>
      </c>
      <c r="AY71" s="255" t="s">
        <v>148</v>
      </c>
      <c r="AZ71" s="251">
        <f t="shared" si="75"/>
        <v>1859.4770769389886</v>
      </c>
      <c r="BA71" s="251">
        <f t="shared" si="76"/>
        <v>8840.9008349065698</v>
      </c>
      <c r="BB71" s="251">
        <f t="shared" si="77"/>
        <v>2595.4814361243557</v>
      </c>
      <c r="BC71" s="251">
        <f t="shared" si="78"/>
        <v>1721.6477021702062</v>
      </c>
      <c r="BD71" s="251">
        <f t="shared" si="79"/>
        <v>5775.0987630540722</v>
      </c>
      <c r="BE71" s="251">
        <f t="shared" si="80"/>
        <v>3943.7518452243216</v>
      </c>
      <c r="BF71" s="251">
        <f>AW71</f>
        <v>25416.237729250701</v>
      </c>
      <c r="BG71" s="64">
        <f t="shared" si="81"/>
        <v>25462.758851976312</v>
      </c>
      <c r="BH71" s="64">
        <f t="shared" si="82"/>
        <v>23556.760652311714</v>
      </c>
      <c r="BI71" s="64">
        <f t="shared" si="102"/>
        <v>15017.507050140121</v>
      </c>
      <c r="BJ71" s="64">
        <f t="shared" si="73"/>
        <v>15025.441481846312</v>
      </c>
      <c r="BK71" s="64">
        <f t="shared" ref="BK71:BK84" si="109">SUM(BD71:BE71)</f>
        <v>9718.8506082783933</v>
      </c>
      <c r="BL71" s="64">
        <f t="shared" si="74"/>
        <v>10437.31737013</v>
      </c>
    </row>
    <row r="72" spans="1:64" x14ac:dyDescent="0.25">
      <c r="A72" s="98" t="s">
        <v>149</v>
      </c>
      <c r="B72" s="220">
        <f>'Ingreso estructural no oil'!K71</f>
        <v>70064.186887412201</v>
      </c>
      <c r="C72" s="40">
        <f>'Ingreso estructural no oil'!L71</f>
        <v>70174.676999999996</v>
      </c>
      <c r="D72" s="12">
        <f t="shared" si="72"/>
        <v>0.99842549880795606</v>
      </c>
      <c r="E72" s="64">
        <f>'Ingreso estructural no oil'!N71</f>
        <v>99290.381000000008</v>
      </c>
      <c r="F72" s="63">
        <f t="shared" si="107"/>
        <v>-1.0335530053095954E-2</v>
      </c>
      <c r="H72" s="98" t="s">
        <v>149</v>
      </c>
      <c r="I72" s="46">
        <f>SUM('Datos Gastos GC'!B72:B75)</f>
        <v>1759.3559821156455</v>
      </c>
      <c r="J72" s="12">
        <f t="shared" si="104"/>
        <v>8.1780817823442487E-3</v>
      </c>
      <c r="K72" s="40">
        <f t="shared" si="108"/>
        <v>-0.79125905883216385</v>
      </c>
      <c r="L72" s="64">
        <f t="shared" si="106"/>
        <v>1761.5509506846372</v>
      </c>
      <c r="M72" s="27">
        <v>1721.7270864525101</v>
      </c>
      <c r="N72" s="98" t="s">
        <v>149</v>
      </c>
      <c r="O72" s="46">
        <f>SUM('Datos Gastos GC'!E72:E75)</f>
        <v>8761.4832920000008</v>
      </c>
      <c r="P72" s="12">
        <f t="shared" si="83"/>
        <v>-1.7504430226080725E-3</v>
      </c>
      <c r="Q72" s="40">
        <f t="shared" si="84"/>
        <v>0.16936170797391628</v>
      </c>
      <c r="R72" s="64">
        <f t="shared" si="85"/>
        <v>8759.1454237664475</v>
      </c>
      <c r="T72" s="98" t="s">
        <v>149</v>
      </c>
      <c r="U72" s="46">
        <f>SUM('Datos Gastos GC'!H72:H75)</f>
        <v>2409.0407495999998</v>
      </c>
      <c r="V72" s="40">
        <f t="shared" si="86"/>
        <v>-6.3673104876495579E-2</v>
      </c>
      <c r="W72" s="64">
        <f t="shared" si="87"/>
        <v>6.1606037183765565</v>
      </c>
      <c r="X72" s="64">
        <f t="shared" si="88"/>
        <v>2385.7680759016826</v>
      </c>
      <c r="Z72" s="98" t="s">
        <v>149</v>
      </c>
      <c r="AA72" s="46">
        <f>SUM('Datos Gastos GC'!K72:K75)</f>
        <v>1553.7558553825647</v>
      </c>
      <c r="AB72" s="12">
        <f t="shared" si="89"/>
        <v>-0.19521509404356507</v>
      </c>
      <c r="AC72" s="64">
        <f t="shared" si="90"/>
        <v>18.887768023575088</v>
      </c>
      <c r="AD72" s="64">
        <f t="shared" si="91"/>
        <v>1508.1939609192536</v>
      </c>
      <c r="AF72" s="98" t="s">
        <v>149</v>
      </c>
      <c r="AG72" s="46">
        <f>SUM('Datos Gastos GC'!N72:N75)</f>
        <v>5541.6040522879593</v>
      </c>
      <c r="AH72" s="12">
        <f t="shared" si="92"/>
        <v>-0.15059890080667715</v>
      </c>
      <c r="AI72" s="64">
        <f t="shared" si="93"/>
        <v>14.570989589601748</v>
      </c>
      <c r="AJ72" s="64">
        <f t="shared" si="94"/>
        <v>5415.8177155154408</v>
      </c>
      <c r="AK72" s="27">
        <v>6569.0984450373799</v>
      </c>
      <c r="AL72" s="98" t="s">
        <v>149</v>
      </c>
      <c r="AM72" s="46">
        <f>SUM('Datos Gastos GC'!Q72:Q75)</f>
        <v>4123.8908715920406</v>
      </c>
      <c r="AN72" s="40">
        <f t="shared" si="95"/>
        <v>5.3844742736856688E-2</v>
      </c>
      <c r="AO72" s="64">
        <f t="shared" si="96"/>
        <v>-5.2096740525395484</v>
      </c>
      <c r="AP72" s="64">
        <f t="shared" si="97"/>
        <v>4157.883647923044</v>
      </c>
      <c r="AQ72" s="27">
        <v>3791.39309589715</v>
      </c>
      <c r="AR72" s="98" t="s">
        <v>149</v>
      </c>
      <c r="AS72" s="46">
        <f>SUM('Datos Gastos GC'!T72:T75)</f>
        <v>24149.130802978212</v>
      </c>
      <c r="AT72" s="40">
        <f t="shared" ref="AT72:AT89" si="110">(AS72/AS71)-1</f>
        <v>-5.1590169652654949E-2</v>
      </c>
      <c r="AU72" s="64">
        <f t="shared" si="99"/>
        <v>4.9915359335829503</v>
      </c>
      <c r="AV72" s="64">
        <f t="shared" si="100"/>
        <v>23959.933910870121</v>
      </c>
      <c r="AW72" s="27">
        <v>25165.681300197099</v>
      </c>
      <c r="AY72" s="255" t="s">
        <v>149</v>
      </c>
      <c r="AZ72" s="251">
        <f t="shared" si="75"/>
        <v>1761.5509506846372</v>
      </c>
      <c r="BA72" s="251">
        <f t="shared" si="76"/>
        <v>8759.1454237664475</v>
      </c>
      <c r="BB72" s="251">
        <f t="shared" si="77"/>
        <v>2385.7680759016826</v>
      </c>
      <c r="BC72" s="251">
        <f t="shared" si="78"/>
        <v>1508.1939609192536</v>
      </c>
      <c r="BD72" s="251">
        <f t="shared" si="79"/>
        <v>5415.8177155154408</v>
      </c>
      <c r="BE72" s="251">
        <f t="shared" si="80"/>
        <v>4157.883647923044</v>
      </c>
      <c r="BF72" s="251">
        <f>AW72</f>
        <v>25165.681300197099</v>
      </c>
      <c r="BG72" s="64">
        <f t="shared" si="81"/>
        <v>24149.130802978212</v>
      </c>
      <c r="BH72" s="64">
        <f t="shared" ref="BH72:BH84" si="111">BF72-AZ72</f>
        <v>23404.130349512463</v>
      </c>
      <c r="BI72" s="64">
        <f t="shared" ref="BI72:BI84" si="112">SUM(AZ72:BC72)</f>
        <v>14414.658411272021</v>
      </c>
      <c r="BJ72" s="64">
        <f t="shared" si="73"/>
        <v>14483.635879098212</v>
      </c>
      <c r="BK72" s="64">
        <f t="shared" si="109"/>
        <v>9573.7013634384857</v>
      </c>
      <c r="BL72" s="64">
        <f t="shared" si="74"/>
        <v>9665.49492388</v>
      </c>
    </row>
    <row r="73" spans="1:64" x14ac:dyDescent="0.25">
      <c r="A73" s="98" t="s">
        <v>150</v>
      </c>
      <c r="B73" s="220">
        <f>'Ingreso estructural no oil'!K72</f>
        <v>70061.833792707796</v>
      </c>
      <c r="C73" s="40">
        <f>'Ingreso estructural no oil'!L72</f>
        <v>69563.254000000001</v>
      </c>
      <c r="D73" s="12">
        <f t="shared" si="72"/>
        <v>1.0071672868078856</v>
      </c>
      <c r="E73" s="64">
        <f>'Ingreso estructural no oil'!N72</f>
        <v>99151.215000000011</v>
      </c>
      <c r="F73" s="63">
        <f t="shared" si="107"/>
        <v>-1.4016060629276073E-3</v>
      </c>
      <c r="H73" s="98" t="s">
        <v>150</v>
      </c>
      <c r="I73" s="46">
        <f>SUM('Datos Gastos GC'!B73:B76)</f>
        <v>1819.5657343133034</v>
      </c>
      <c r="J73" s="12">
        <f t="shared" si="104"/>
        <v>3.4222609187513742E-2</v>
      </c>
      <c r="K73" s="40">
        <f t="shared" si="108"/>
        <v>-24.41671029592381</v>
      </c>
      <c r="L73" s="64">
        <f t="shared" si="106"/>
        <v>1528.3985106102716</v>
      </c>
      <c r="M73" s="27">
        <v>1798.704540213</v>
      </c>
      <c r="N73" s="98" t="s">
        <v>150</v>
      </c>
      <c r="O73" s="46">
        <f>SUM('Datos Gastos GC'!E73:E76)</f>
        <v>8877.5861923299999</v>
      </c>
      <c r="P73" s="12">
        <f t="shared" si="83"/>
        <v>1.3251511925613135E-2</v>
      </c>
      <c r="Q73" s="40">
        <f t="shared" si="84"/>
        <v>-9.4545195516163894</v>
      </c>
      <c r="R73" s="64">
        <f t="shared" si="85"/>
        <v>8297.9469336426973</v>
      </c>
      <c r="T73" s="98" t="s">
        <v>150</v>
      </c>
      <c r="U73" s="46">
        <f>SUM('Datos Gastos GC'!H73:H76)</f>
        <v>2284.0105139699999</v>
      </c>
      <c r="V73" s="40">
        <f t="shared" si="86"/>
        <v>-5.1900423706307208E-2</v>
      </c>
      <c r="W73" s="64">
        <f t="shared" si="87"/>
        <v>37.029251712781623</v>
      </c>
      <c r="X73" s="64">
        <f t="shared" si="88"/>
        <v>2975.421133032637</v>
      </c>
      <c r="Z73" s="98" t="s">
        <v>150</v>
      </c>
      <c r="AA73" s="46">
        <f>SUM('Datos Gastos GC'!K73:K76)</f>
        <v>1321.5999603701175</v>
      </c>
      <c r="AB73" s="12">
        <f t="shared" si="89"/>
        <v>-0.14941594215603837</v>
      </c>
      <c r="AC73" s="64">
        <f t="shared" si="90"/>
        <v>106.60337887233845</v>
      </c>
      <c r="AD73" s="129">
        <f t="shared" si="91"/>
        <v>2829.7121433328239</v>
      </c>
      <c r="AF73" s="98" t="s">
        <v>150</v>
      </c>
      <c r="AG73" s="46">
        <f>SUM('Datos Gastos GC'!N73:N76)</f>
        <v>5178.8059278879582</v>
      </c>
      <c r="AH73" s="12">
        <f t="shared" si="92"/>
        <v>-6.5468070431739522E-2</v>
      </c>
      <c r="AI73" s="64">
        <f t="shared" si="93"/>
        <v>46.709323085398879</v>
      </c>
      <c r="AJ73" s="129">
        <f t="shared" si="94"/>
        <v>7229.4257132436678</v>
      </c>
      <c r="AK73" s="27">
        <v>6325.4166799211898</v>
      </c>
      <c r="AL73" s="98" t="s">
        <v>150</v>
      </c>
      <c r="AM73" s="46">
        <f>SUM('Datos Gastos GC'!Q73:Q76)</f>
        <v>4168.6216757920411</v>
      </c>
      <c r="AN73" s="40">
        <f t="shared" si="95"/>
        <v>1.084674779057182E-2</v>
      </c>
      <c r="AO73" s="64">
        <f t="shared" si="96"/>
        <v>-7.7387991372666125</v>
      </c>
      <c r="AP73" s="64">
        <f t="shared" si="97"/>
        <v>3944.4797948935611</v>
      </c>
      <c r="AQ73" s="27">
        <v>3786.7213832203402</v>
      </c>
      <c r="AR73" s="98" t="s">
        <v>150</v>
      </c>
      <c r="AS73" s="46">
        <f>SUM('Datos Gastos GC'!T73:T76)</f>
        <v>23650.190004663422</v>
      </c>
      <c r="AT73" s="40">
        <f t="shared" si="110"/>
        <v>-2.0660818080179388E-2</v>
      </c>
      <c r="AU73" s="64">
        <f t="shared" si="99"/>
        <v>14.74081671495061</v>
      </c>
      <c r="AV73" s="64">
        <f t="shared" si="100"/>
        <v>26275.737678498455</v>
      </c>
      <c r="AW73" s="27">
        <v>24916.223827521</v>
      </c>
      <c r="AY73" s="255" t="s">
        <v>150</v>
      </c>
      <c r="AZ73" s="251">
        <f t="shared" si="75"/>
        <v>1528.3985106102716</v>
      </c>
      <c r="BA73" s="251">
        <f t="shared" si="76"/>
        <v>8297.9469336426973</v>
      </c>
      <c r="BB73" s="251">
        <f t="shared" si="77"/>
        <v>2975.421133032637</v>
      </c>
      <c r="BC73" s="251">
        <f t="shared" si="78"/>
        <v>2829.7121433328239</v>
      </c>
      <c r="BD73" s="251">
        <f t="shared" si="79"/>
        <v>7229.4257132436678</v>
      </c>
      <c r="BE73" s="251">
        <f t="shared" si="80"/>
        <v>3944.4797948935611</v>
      </c>
      <c r="BF73" s="251">
        <f>AW73</f>
        <v>24916.223827521</v>
      </c>
      <c r="BG73" s="64">
        <f t="shared" si="81"/>
        <v>23650.190004663418</v>
      </c>
      <c r="BH73" s="64">
        <f t="shared" si="111"/>
        <v>23387.82531691073</v>
      </c>
      <c r="BI73" s="64">
        <f t="shared" si="112"/>
        <v>15631.47872061843</v>
      </c>
      <c r="BJ73" s="64">
        <f t="shared" si="73"/>
        <v>14302.762400983418</v>
      </c>
      <c r="BK73" s="64">
        <f t="shared" si="109"/>
        <v>11173.905508137228</v>
      </c>
      <c r="BL73" s="64">
        <f t="shared" si="74"/>
        <v>9347.4276036800002</v>
      </c>
    </row>
    <row r="74" spans="1:64" x14ac:dyDescent="0.25">
      <c r="A74" s="98" t="s">
        <v>151</v>
      </c>
      <c r="B74" s="220">
        <f>'Ingreso estructural no oil'!K73</f>
        <v>70055.920575263503</v>
      </c>
      <c r="C74" s="40">
        <f>'Ingreso estructural no oil'!L73</f>
        <v>69353.581999999995</v>
      </c>
      <c r="D74" s="12">
        <f t="shared" si="72"/>
        <v>1.01012692574788</v>
      </c>
      <c r="E74" s="64">
        <f>'Ingreso estructural no oil'!N73</f>
        <v>98991.206000000006</v>
      </c>
      <c r="F74" s="63">
        <f t="shared" si="107"/>
        <v>-1.6137875869701723E-3</v>
      </c>
      <c r="H74" s="98" t="s">
        <v>151</v>
      </c>
      <c r="I74" s="46">
        <f>SUM('Datos Gastos GC'!B74:B77)</f>
        <v>1830.0947402329796</v>
      </c>
      <c r="J74" s="12">
        <f t="shared" si="104"/>
        <v>5.786548801794078E-3</v>
      </c>
      <c r="K74" s="40">
        <f t="shared" si="108"/>
        <v>-3.5856942069173514</v>
      </c>
      <c r="L74" s="64">
        <f t="shared" si="106"/>
        <v>1765.1546552824548</v>
      </c>
      <c r="M74" s="27">
        <v>1877.5021511898599</v>
      </c>
      <c r="N74" s="98" t="s">
        <v>151</v>
      </c>
      <c r="O74" s="46">
        <f>SUM('Datos Gastos GC'!E74:E77)</f>
        <v>8913.4511480199981</v>
      </c>
      <c r="P74" s="12">
        <f t="shared" si="83"/>
        <v>4.0399445201653172E-3</v>
      </c>
      <c r="Q74" s="40">
        <f t="shared" si="84"/>
        <v>-2.5033929823132217</v>
      </c>
      <c r="R74" s="64">
        <f t="shared" si="85"/>
        <v>8691.4286990726268</v>
      </c>
      <c r="T74" s="98" t="s">
        <v>151</v>
      </c>
      <c r="U74" s="46">
        <f>SUM('Datos Gastos GC'!H74:H77)</f>
        <v>2230.6903382600012</v>
      </c>
      <c r="V74" s="40">
        <f t="shared" si="86"/>
        <v>-2.334497822311643E-2</v>
      </c>
      <c r="W74" s="64">
        <f t="shared" si="87"/>
        <v>14.465954758609701</v>
      </c>
      <c r="X74" s="64">
        <f t="shared" si="88"/>
        <v>2580.7239256849766</v>
      </c>
      <c r="Z74" s="98" t="s">
        <v>151</v>
      </c>
      <c r="AA74" s="46">
        <f>SUM('Datos Gastos GC'!K74:K77)</f>
        <v>1463.8062074312938</v>
      </c>
      <c r="AB74" s="12">
        <f t="shared" si="89"/>
        <v>0.10760158241935103</v>
      </c>
      <c r="AC74" s="64">
        <f t="shared" si="90"/>
        <v>-66.676422156257317</v>
      </c>
      <c r="AD74" s="129">
        <f t="shared" si="91"/>
        <v>747.67187845493788</v>
      </c>
      <c r="AF74" s="98" t="s">
        <v>151</v>
      </c>
      <c r="AG74" s="46">
        <f>SUM('Datos Gastos GC'!N74:N77)</f>
        <v>4212.5386759979592</v>
      </c>
      <c r="AH74" s="12">
        <f t="shared" si="92"/>
        <v>-0.18658108941418972</v>
      </c>
      <c r="AI74" s="64">
        <f t="shared" si="93"/>
        <v>115.61688224686927</v>
      </c>
      <c r="AJ74" s="129">
        <f>AK74</f>
        <v>6130.3628221868403</v>
      </c>
      <c r="AK74" s="27">
        <v>6130.3628221868403</v>
      </c>
      <c r="AL74" s="98" t="s">
        <v>151</v>
      </c>
      <c r="AM74" s="46">
        <f>SUM('Datos Gastos GC'!Q74:Q77)</f>
        <v>4078.3112836420405</v>
      </c>
      <c r="AN74" s="40">
        <f t="shared" si="95"/>
        <v>-2.1664329165308915E-2</v>
      </c>
      <c r="AO74" s="64">
        <f t="shared" si="96"/>
        <v>13.424523363686857</v>
      </c>
      <c r="AP74" s="64">
        <f t="shared" si="97"/>
        <v>4669.0162289735372</v>
      </c>
      <c r="AQ74" s="27">
        <v>3756.4747835243202</v>
      </c>
      <c r="AR74" s="98" t="s">
        <v>151</v>
      </c>
      <c r="AS74" s="46">
        <f>SUM('Datos Gastos GC'!T74:T77)</f>
        <v>22728.892393584276</v>
      </c>
      <c r="AT74" s="40">
        <f t="shared" si="110"/>
        <v>-3.8955188558632337E-2</v>
      </c>
      <c r="AU74" s="64">
        <f t="shared" si="99"/>
        <v>24.138981408184762</v>
      </c>
      <c r="AV74" s="64">
        <f t="shared" si="100"/>
        <v>28987.395331384403</v>
      </c>
      <c r="AW74" s="27">
        <v>24698.353539670501</v>
      </c>
      <c r="AY74" s="255" t="s">
        <v>151</v>
      </c>
      <c r="AZ74" s="251">
        <f t="shared" si="75"/>
        <v>1765.1546552824548</v>
      </c>
      <c r="BA74" s="251">
        <f t="shared" si="76"/>
        <v>8691.4286990726268</v>
      </c>
      <c r="BB74" s="251">
        <f t="shared" si="77"/>
        <v>2580.7239256849766</v>
      </c>
      <c r="BC74" s="251">
        <f t="shared" si="78"/>
        <v>747.67187845493788</v>
      </c>
      <c r="BD74" s="251">
        <f t="shared" si="79"/>
        <v>6130.3628221868403</v>
      </c>
      <c r="BE74" s="251">
        <f t="shared" si="80"/>
        <v>4669.0162289735372</v>
      </c>
      <c r="BF74" s="251">
        <f>SUM(AZ74:BE74)</f>
        <v>24584.358209655373</v>
      </c>
      <c r="BG74" s="64">
        <f t="shared" si="81"/>
        <v>22728.892393584272</v>
      </c>
      <c r="BH74" s="64">
        <f t="shared" si="111"/>
        <v>22819.203554372918</v>
      </c>
      <c r="BI74" s="64">
        <f t="shared" si="112"/>
        <v>13784.979158494996</v>
      </c>
      <c r="BJ74" s="64">
        <f t="shared" si="73"/>
        <v>14438.042433944272</v>
      </c>
      <c r="BK74" s="64">
        <f t="shared" si="109"/>
        <v>10799.379051160377</v>
      </c>
      <c r="BL74" s="64">
        <f t="shared" si="74"/>
        <v>8290.8499596399997</v>
      </c>
    </row>
    <row r="75" spans="1:64" x14ac:dyDescent="0.25">
      <c r="A75" s="98" t="s">
        <v>152</v>
      </c>
      <c r="B75" s="220">
        <f>'Ingreso estructural no oil'!K74</f>
        <v>70070.930257640503</v>
      </c>
      <c r="C75" s="40">
        <f>'Ingreso estructural no oil'!L74</f>
        <v>69172.264999999999</v>
      </c>
      <c r="D75" s="12">
        <f t="shared" si="72"/>
        <v>1.0129916991678747</v>
      </c>
      <c r="E75" s="157">
        <f>AVERAGE(E74,E76)</f>
        <v>99464.451000000001</v>
      </c>
      <c r="F75" s="65">
        <f t="shared" si="107"/>
        <v>4.7806771845975149E-3</v>
      </c>
      <c r="H75" s="98" t="s">
        <v>152</v>
      </c>
      <c r="I75" s="46">
        <f>SUM('Datos Gastos GC'!B75:B78)</f>
        <v>1865.9345363479026</v>
      </c>
      <c r="J75" s="12">
        <f t="shared" si="104"/>
        <v>1.9583574187181485E-2</v>
      </c>
      <c r="K75" s="150">
        <f t="shared" si="108"/>
        <v>4.0964017085856064</v>
      </c>
      <c r="L75" s="157">
        <f>1960</f>
        <v>1960</v>
      </c>
      <c r="M75" s="27">
        <v>1959.5242108800201</v>
      </c>
      <c r="N75" s="98" t="s">
        <v>152</v>
      </c>
      <c r="O75" s="46">
        <f>SUM('Datos Gastos GC'!E75:E78)</f>
        <v>8906.5211169200084</v>
      </c>
      <c r="P75" s="12">
        <f t="shared" si="83"/>
        <v>-7.7748012356915197E-4</v>
      </c>
      <c r="Q75" s="40">
        <f t="shared" si="84"/>
        <v>-0.16262970569819138</v>
      </c>
      <c r="R75" s="64">
        <f t="shared" si="85"/>
        <v>8887.8438978319555</v>
      </c>
      <c r="T75" s="98" t="s">
        <v>152</v>
      </c>
      <c r="U75" s="46">
        <f>SUM('Datos Gastos GC'!H75:H78)</f>
        <v>2045.9543741500092</v>
      </c>
      <c r="V75" s="40">
        <f t="shared" si="86"/>
        <v>-8.2815602390644227E-2</v>
      </c>
      <c r="W75" s="151">
        <f t="shared" si="87"/>
        <v>-17.322985676058877</v>
      </c>
      <c r="X75" s="151">
        <f t="shared" si="88"/>
        <v>1636.0073525673799</v>
      </c>
      <c r="Z75" s="98" t="s">
        <v>152</v>
      </c>
      <c r="AA75" s="46">
        <f>SUM('Datos Gastos GC'!K75:K78)</f>
        <v>1607.1979348681864</v>
      </c>
      <c r="AB75" s="12">
        <f t="shared" si="89"/>
        <v>9.7958135926010437E-2</v>
      </c>
      <c r="AC75" s="151">
        <f t="shared" si="90"/>
        <v>20.490430987813607</v>
      </c>
      <c r="AD75" s="152">
        <f t="shared" si="91"/>
        <v>2093.805798963313</v>
      </c>
      <c r="AF75" s="98" t="s">
        <v>152</v>
      </c>
      <c r="AG75" s="158">
        <f>SUM('Datos Gastos GC'!N75:N78)</f>
        <v>5213.1493792579586</v>
      </c>
      <c r="AH75" s="12">
        <f>(AG75/AG74)-1</f>
        <v>0.23753151726801724</v>
      </c>
      <c r="AI75" s="151">
        <f>AH75/F75</f>
        <v>49.68574703878798</v>
      </c>
      <c r="AJ75" s="129">
        <f t="shared" ref="AJ75:AJ80" si="113">AK75</f>
        <v>5990.0911911373196</v>
      </c>
      <c r="AK75" s="27">
        <v>5990.0911911373196</v>
      </c>
      <c r="AL75" s="98" t="s">
        <v>152</v>
      </c>
      <c r="AM75" s="46">
        <f>SUM('Datos Gastos GC'!Q75:Q78)</f>
        <v>3666.6476525020407</v>
      </c>
      <c r="AN75" s="40">
        <f t="shared" si="95"/>
        <v>-0.10093972787000538</v>
      </c>
      <c r="AO75" s="151">
        <f t="shared" si="96"/>
        <v>-21.114106636443701</v>
      </c>
      <c r="AP75" s="157">
        <f>AQ75</f>
        <v>3705.04455433474</v>
      </c>
      <c r="AQ75" s="27">
        <v>3705.04455433474</v>
      </c>
      <c r="AR75" s="98" t="s">
        <v>152</v>
      </c>
      <c r="AS75" s="225">
        <f>SUM('Datos Gastos GC'!T75:T78)</f>
        <v>23305.404994046105</v>
      </c>
      <c r="AT75" s="40">
        <f t="shared" si="110"/>
        <v>2.5364746793581583E-2</v>
      </c>
      <c r="AU75" s="151">
        <f t="shared" si="99"/>
        <v>5.3056807255888874</v>
      </c>
      <c r="AV75" s="64">
        <f t="shared" si="100"/>
        <v>24957.42064347654</v>
      </c>
      <c r="AW75" s="27">
        <v>24529.896426818399</v>
      </c>
      <c r="AY75" s="255" t="s">
        <v>152</v>
      </c>
      <c r="AZ75" s="251">
        <f t="shared" si="75"/>
        <v>1960</v>
      </c>
      <c r="BA75" s="251">
        <f t="shared" si="76"/>
        <v>8887.8438978319555</v>
      </c>
      <c r="BB75" s="251">
        <f t="shared" si="77"/>
        <v>1636.0073525673799</v>
      </c>
      <c r="BC75" s="251">
        <f t="shared" si="78"/>
        <v>2093.805798963313</v>
      </c>
      <c r="BD75" s="251">
        <f t="shared" si="79"/>
        <v>5990.0911911373196</v>
      </c>
      <c r="BE75" s="251">
        <f t="shared" si="80"/>
        <v>3705.04455433474</v>
      </c>
      <c r="BF75" s="251">
        <f>SUM(AZ75:BE75)</f>
        <v>24272.79279483471</v>
      </c>
      <c r="BG75" s="151">
        <f t="shared" si="81"/>
        <v>23305.404994046105</v>
      </c>
      <c r="BH75" s="151">
        <f t="shared" si="111"/>
        <v>22312.79279483471</v>
      </c>
      <c r="BI75" s="64">
        <f t="shared" si="112"/>
        <v>14577.657049362648</v>
      </c>
      <c r="BJ75" s="64">
        <f t="shared" si="73"/>
        <v>14425.607962286107</v>
      </c>
      <c r="BK75" s="64">
        <f t="shared" si="109"/>
        <v>9695.1357454720601</v>
      </c>
      <c r="BL75" s="64">
        <f t="shared" si="74"/>
        <v>8879.7970317599993</v>
      </c>
    </row>
    <row r="76" spans="1:64" x14ac:dyDescent="0.25">
      <c r="A76" s="98" t="s">
        <v>153</v>
      </c>
      <c r="B76" s="220">
        <f>'Ingreso estructural no oil'!K75</f>
        <v>70124.322656647098</v>
      </c>
      <c r="C76" s="40">
        <f>'Ingreso estructural no oil'!L75</f>
        <v>69314.065999999992</v>
      </c>
      <c r="D76" s="12">
        <f t="shared" si="72"/>
        <v>1.0116896425704864</v>
      </c>
      <c r="E76" s="64">
        <f>'Ingreso estructural no oil'!N75</f>
        <v>99937.695999999996</v>
      </c>
      <c r="F76" s="63">
        <f t="shared" si="107"/>
        <v>4.7579310521705942E-3</v>
      </c>
      <c r="H76" s="98" t="s">
        <v>153</v>
      </c>
      <c r="I76" s="46">
        <f>SUM('Datos Gastos GC'!B76:B79)</f>
        <v>1937.7003928797076</v>
      </c>
      <c r="J76" s="12">
        <f t="shared" si="104"/>
        <v>3.8461079493318451E-2</v>
      </c>
      <c r="K76" s="40">
        <f t="shared" si="108"/>
        <v>8.0835722652543058</v>
      </c>
      <c r="L76" s="157">
        <v>2046</v>
      </c>
      <c r="M76" s="27">
        <v>2045.6999892685201</v>
      </c>
      <c r="N76" s="98" t="s">
        <v>153</v>
      </c>
      <c r="O76" s="46">
        <f>SUM('Datos Gastos GC'!E76:E79)</f>
        <v>8870.1075780799911</v>
      </c>
      <c r="P76" s="12">
        <f t="shared" si="83"/>
        <v>-4.0884132381207028E-3</v>
      </c>
      <c r="Q76" s="40">
        <f t="shared" si="84"/>
        <v>-0.85928383435811795</v>
      </c>
      <c r="R76" s="64">
        <f t="shared" si="85"/>
        <v>8781.9673974820053</v>
      </c>
      <c r="T76" s="98" t="s">
        <v>153</v>
      </c>
      <c r="U76" s="46">
        <f>SUM('Datos Gastos GC'!H76:H79)</f>
        <v>1934.5720227400088</v>
      </c>
      <c r="V76" s="40">
        <f t="shared" si="86"/>
        <v>-5.4440290955302562E-2</v>
      </c>
      <c r="W76" s="64">
        <f t="shared" si="87"/>
        <v>-11.442009217528826</v>
      </c>
      <c r="X76" s="64">
        <f t="shared" si="88"/>
        <v>1693.6887625473428</v>
      </c>
      <c r="Z76" s="98" t="s">
        <v>153</v>
      </c>
      <c r="AA76" s="46">
        <f>SUM('Datos Gastos GC'!K76:K79)</f>
        <v>1770.4328387999999</v>
      </c>
      <c r="AB76" s="12">
        <f t="shared" si="89"/>
        <v>0.10156490398004481</v>
      </c>
      <c r="AC76" s="64">
        <f t="shared" si="90"/>
        <v>21.346442995156547</v>
      </c>
      <c r="AD76" s="129">
        <f t="shared" si="91"/>
        <v>2268.9317880827407</v>
      </c>
      <c r="AF76" s="98" t="s">
        <v>153</v>
      </c>
      <c r="AG76" s="46">
        <f>SUM('Datos Gastos GC'!N76:N79)</f>
        <v>6104.7526720850001</v>
      </c>
      <c r="AH76" s="12">
        <f t="shared" si="92"/>
        <v>0.17102968435444144</v>
      </c>
      <c r="AI76" s="64">
        <f t="shared" si="93"/>
        <v>35.946230090160043</v>
      </c>
      <c r="AJ76" s="129">
        <f t="shared" si="113"/>
        <v>5891.5824778537499</v>
      </c>
      <c r="AK76" s="27">
        <v>5891.5824778537499</v>
      </c>
      <c r="AL76" s="98" t="s">
        <v>153</v>
      </c>
      <c r="AM76" s="46">
        <f>SUM('Datos Gastos GC'!Q76:Q79)</f>
        <v>3485.0398881499996</v>
      </c>
      <c r="AN76" s="40">
        <f t="shared" si="95"/>
        <v>-4.9529647122792397E-2</v>
      </c>
      <c r="AO76" s="64">
        <f t="shared" si="96"/>
        <v>-10.409912749827827</v>
      </c>
      <c r="AP76" s="64">
        <f t="shared" si="97"/>
        <v>3087.9180125277139</v>
      </c>
      <c r="AQ76" s="27">
        <v>3640.0372053419701</v>
      </c>
      <c r="AR76" s="98" t="s">
        <v>153</v>
      </c>
      <c r="AS76" s="225">
        <f>SUM('Datos Gastos GC'!T76:T79)</f>
        <v>24102.605392734706</v>
      </c>
      <c r="AT76" s="40">
        <f t="shared" si="110"/>
        <v>3.4206674326932474E-2</v>
      </c>
      <c r="AU76" s="64">
        <f t="shared" si="99"/>
        <v>7.1894010131414579</v>
      </c>
      <c r="AV76" s="64">
        <f t="shared" si="100"/>
        <v>26203.003915042518</v>
      </c>
      <c r="AW76" s="27">
        <v>24408.984943741099</v>
      </c>
      <c r="AY76" s="255" t="s">
        <v>153</v>
      </c>
      <c r="AZ76" s="251">
        <f t="shared" si="75"/>
        <v>2046</v>
      </c>
      <c r="BA76" s="251">
        <f t="shared" si="76"/>
        <v>8781.9673974820053</v>
      </c>
      <c r="BB76" s="251">
        <f t="shared" si="77"/>
        <v>1693.6887625473428</v>
      </c>
      <c r="BC76" s="251">
        <f t="shared" si="78"/>
        <v>2268.9317880827407</v>
      </c>
      <c r="BD76" s="251">
        <f t="shared" si="79"/>
        <v>5891.5824778537499</v>
      </c>
      <c r="BE76" s="251">
        <f t="shared" si="80"/>
        <v>3087.9180125277139</v>
      </c>
      <c r="BF76" s="251">
        <f t="shared" si="71"/>
        <v>23770.088438493549</v>
      </c>
      <c r="BG76" s="64">
        <f t="shared" si="81"/>
        <v>24102.605392734709</v>
      </c>
      <c r="BH76" s="64">
        <f t="shared" si="111"/>
        <v>21724.088438493549</v>
      </c>
      <c r="BI76" s="64">
        <f t="shared" si="112"/>
        <v>14790.587948112088</v>
      </c>
      <c r="BJ76" s="64">
        <f t="shared" si="73"/>
        <v>14512.812832499707</v>
      </c>
      <c r="BK76" s="64">
        <f t="shared" si="109"/>
        <v>8979.5004903814643</v>
      </c>
      <c r="BL76" s="64">
        <f t="shared" si="74"/>
        <v>9589.7925602350006</v>
      </c>
    </row>
    <row r="77" spans="1:64" x14ac:dyDescent="0.25">
      <c r="A77" s="98" t="s">
        <v>170</v>
      </c>
      <c r="B77" s="220">
        <f>'Ingreso estructural no oil'!K76</f>
        <v>70224.571286515304</v>
      </c>
      <c r="C77" s="40">
        <f>'Ingreso estructural no oil'!L76</f>
        <v>69607.374000000011</v>
      </c>
      <c r="D77" s="12">
        <f t="shared" ref="D77:D84" si="114">B77/C77</f>
        <v>1.0088668376789403</v>
      </c>
      <c r="E77" s="64">
        <f>'Ingreso estructural no oil'!N76</f>
        <v>101024.38400000001</v>
      </c>
      <c r="F77" s="63">
        <f t="shared" si="107"/>
        <v>1.0873654721837989E-2</v>
      </c>
      <c r="H77" s="98" t="s">
        <v>170</v>
      </c>
      <c r="I77" s="46">
        <f>SUM('Datos Gastos GC'!B77:B80)</f>
        <v>2126.9710605764262</v>
      </c>
      <c r="J77" s="12">
        <f t="shared" si="104"/>
        <v>9.767798385767712E-2</v>
      </c>
      <c r="K77" s="40">
        <f t="shared" ref="K77:K84" si="115">J77/F77</f>
        <v>8.9829948031646225</v>
      </c>
      <c r="L77" s="64">
        <f t="shared" si="106"/>
        <v>2302.5072447692778</v>
      </c>
      <c r="M77" s="27">
        <v>2136.0235142315801</v>
      </c>
      <c r="N77" s="98" t="s">
        <v>170</v>
      </c>
      <c r="O77" s="46">
        <f>SUM('Datos Gastos GC'!E77:E80)</f>
        <v>8894.6649257499903</v>
      </c>
      <c r="P77" s="12">
        <f t="shared" ref="P77:P84" si="116">(O77/O76)-1</f>
        <v>2.7685512778543586E-3</v>
      </c>
      <c r="Q77" s="40">
        <f t="shared" ref="Q77:Q84" si="117">P77/F77</f>
        <v>0.25461092417199604</v>
      </c>
      <c r="R77" s="64">
        <f t="shared" ref="R77:R84" si="118">O77*((D77)^Q77)</f>
        <v>8914.6794472304846</v>
      </c>
      <c r="T77" s="98" t="s">
        <v>170</v>
      </c>
      <c r="U77" s="46">
        <f>SUM('Datos Gastos GC'!H77:H80)</f>
        <v>2038.0687327700089</v>
      </c>
      <c r="V77" s="40">
        <f t="shared" ref="V77:V84" si="119">(U77/U76)-1</f>
        <v>5.3498504482357712E-2</v>
      </c>
      <c r="W77" s="64">
        <f t="shared" ref="W77:W84" si="120">V77/F77</f>
        <v>4.9200113348196135</v>
      </c>
      <c r="X77" s="64">
        <f t="shared" ref="X77:X84" si="121">U77*((D77)^W77)</f>
        <v>2128.5379376924652</v>
      </c>
      <c r="Z77" s="98" t="s">
        <v>170</v>
      </c>
      <c r="AA77" s="46">
        <f>SUM('Datos Gastos GC'!K77:K80)</f>
        <v>1796.5264805891841</v>
      </c>
      <c r="AB77" s="12">
        <f t="shared" ref="AB77:AB84" si="122">(AA77/AA76)-1</f>
        <v>1.4738566308378331E-2</v>
      </c>
      <c r="AC77" s="64">
        <f t="shared" ref="AC77:AC84" si="123">AB77/F77</f>
        <v>1.3554381379039275</v>
      </c>
      <c r="AD77" s="129">
        <f t="shared" ref="AD77:AD84" si="124">AA77*((D77)^AC77)</f>
        <v>1818.1519035625654</v>
      </c>
      <c r="AF77" s="98" t="s">
        <v>170</v>
      </c>
      <c r="AG77" s="46">
        <f>SUM('Datos Gastos GC'!N77:N80)</f>
        <v>6693.2409919849997</v>
      </c>
      <c r="AH77" s="12">
        <f t="shared" ref="AH77:AH84" si="125">(AG77/AG76)-1</f>
        <v>9.6398388519646439E-2</v>
      </c>
      <c r="AI77" s="64">
        <f t="shared" ref="AI77:AI84" si="126">AH77/F77</f>
        <v>8.8653163067653562</v>
      </c>
      <c r="AJ77" s="129">
        <f t="shared" si="113"/>
        <v>5814.04646150587</v>
      </c>
      <c r="AK77" s="27">
        <v>5814.04646150587</v>
      </c>
      <c r="AL77" s="98" t="s">
        <v>170</v>
      </c>
      <c r="AM77" s="46">
        <f>SUM('Datos Gastos GC'!Q77:Q80)</f>
        <v>3291.6013601699997</v>
      </c>
      <c r="AN77" s="40">
        <f t="shared" ref="AN77:AN84" si="127">(AM77/AM76)-1</f>
        <v>-5.5505398557341934E-2</v>
      </c>
      <c r="AO77" s="64">
        <f t="shared" ref="AO77:AO84" si="128">AN77/F77</f>
        <v>-5.1045761500839513</v>
      </c>
      <c r="AP77" s="64">
        <f t="shared" ref="AP77:AP84" si="129">AM77*((D77)^AO77)</f>
        <v>3146.5676330831884</v>
      </c>
      <c r="AQ77" s="27">
        <v>3568.6788006930801</v>
      </c>
      <c r="AR77" s="98" t="s">
        <v>170</v>
      </c>
      <c r="AS77" s="225">
        <f>SUM('Datos Gastos GC'!T77:T80)</f>
        <v>24841.073551840607</v>
      </c>
      <c r="AT77" s="40">
        <f t="shared" si="110"/>
        <v>3.0638520071713859E-2</v>
      </c>
      <c r="AU77" s="64">
        <f t="shared" ref="AU77:AU89" si="130">AT77/F77</f>
        <v>2.8176837370218601</v>
      </c>
      <c r="AV77" s="64">
        <f t="shared" si="100"/>
        <v>25466.714996501079</v>
      </c>
      <c r="AW77" s="27">
        <v>24321.502580946501</v>
      </c>
      <c r="AY77" s="255" t="s">
        <v>170</v>
      </c>
      <c r="AZ77" s="251">
        <f t="shared" si="75"/>
        <v>2302.5072447692778</v>
      </c>
      <c r="BA77" s="251">
        <f t="shared" si="76"/>
        <v>8914.6794472304846</v>
      </c>
      <c r="BB77" s="251">
        <f t="shared" si="77"/>
        <v>2128.5379376924652</v>
      </c>
      <c r="BC77" s="251">
        <f t="shared" si="78"/>
        <v>1818.1519035625654</v>
      </c>
      <c r="BD77" s="251">
        <f t="shared" si="79"/>
        <v>5814.04646150587</v>
      </c>
      <c r="BE77" s="251">
        <f t="shared" si="80"/>
        <v>3146.5676330831884</v>
      </c>
      <c r="BF77" s="251">
        <f t="shared" si="71"/>
        <v>24124.490627843854</v>
      </c>
      <c r="BG77" s="64">
        <f t="shared" si="81"/>
        <v>24841.073551840611</v>
      </c>
      <c r="BH77" s="64">
        <f t="shared" si="111"/>
        <v>21821.983383074577</v>
      </c>
      <c r="BI77" s="64">
        <f t="shared" si="112"/>
        <v>15163.876533254794</v>
      </c>
      <c r="BJ77" s="64">
        <f t="shared" si="73"/>
        <v>14856.23119968561</v>
      </c>
      <c r="BK77" s="64">
        <f t="shared" si="109"/>
        <v>8960.6140945890584</v>
      </c>
      <c r="BL77" s="64">
        <f t="shared" si="74"/>
        <v>9984.8423521549994</v>
      </c>
    </row>
    <row r="78" spans="1:64" x14ac:dyDescent="0.25">
      <c r="A78" s="98" t="s">
        <v>172</v>
      </c>
      <c r="B78" s="220">
        <f>'Ingreso estructural no oil'!K77</f>
        <v>70372.047434910695</v>
      </c>
      <c r="C78" s="40">
        <f>'Ingreso estructural no oil'!L77</f>
        <v>69965.244999999995</v>
      </c>
      <c r="D78" s="12">
        <f t="shared" si="114"/>
        <v>1.005814350180732</v>
      </c>
      <c r="E78" s="64">
        <f>'Ingreso estructural no oil'!N77</f>
        <v>102091.74800000001</v>
      </c>
      <c r="F78" s="63">
        <f t="shared" si="107"/>
        <v>1.0565409634173184E-2</v>
      </c>
      <c r="H78" s="98" t="s">
        <v>172</v>
      </c>
      <c r="I78" s="46">
        <f>SUM('Datos Gastos GC'!B78:B81)</f>
        <v>2217.5706525040528</v>
      </c>
      <c r="J78" s="12">
        <f t="shared" si="104"/>
        <v>4.2595592204754062E-2</v>
      </c>
      <c r="K78" s="40">
        <f t="shared" si="115"/>
        <v>4.031608208259259</v>
      </c>
      <c r="L78" s="64">
        <f t="shared" si="106"/>
        <v>2270.0130794066654</v>
      </c>
      <c r="M78" s="27">
        <v>2229.4118137527398</v>
      </c>
      <c r="N78" s="98" t="s">
        <v>172</v>
      </c>
      <c r="O78" s="46">
        <f>SUM('Datos Gastos GC'!E78:E81)</f>
        <v>8981.1370860599927</v>
      </c>
      <c r="P78" s="12">
        <f t="shared" si="116"/>
        <v>9.7218007684207741E-3</v>
      </c>
      <c r="Q78" s="40">
        <f t="shared" si="117"/>
        <v>0.92015370014392939</v>
      </c>
      <c r="R78" s="64">
        <f t="shared" si="118"/>
        <v>9029.1758997324905</v>
      </c>
      <c r="T78" s="98" t="s">
        <v>172</v>
      </c>
      <c r="U78" s="46">
        <f>SUM('Datos Gastos GC'!H78:H81)</f>
        <v>2062.7335554800079</v>
      </c>
      <c r="V78" s="40">
        <f t="shared" si="119"/>
        <v>1.210205637985351E-2</v>
      </c>
      <c r="W78" s="64">
        <f t="shared" si="120"/>
        <v>1.1454412842366408</v>
      </c>
      <c r="X78" s="64">
        <f t="shared" si="121"/>
        <v>2076.4771532973605</v>
      </c>
      <c r="Z78" s="98" t="s">
        <v>172</v>
      </c>
      <c r="AA78" s="46">
        <f>SUM('Datos Gastos GC'!K78:K81)</f>
        <v>1736.1710229642547</v>
      </c>
      <c r="AB78" s="12">
        <f t="shared" si="122"/>
        <v>-3.3595640407780292E-2</v>
      </c>
      <c r="AC78" s="64">
        <f t="shared" si="123"/>
        <v>-3.1797764186177133</v>
      </c>
      <c r="AD78" s="129">
        <f t="shared" si="124"/>
        <v>1704.4582779511531</v>
      </c>
      <c r="AF78" s="98" t="s">
        <v>172</v>
      </c>
      <c r="AG78" s="46">
        <f>SUM('Datos Gastos GC'!N78:N81)</f>
        <v>6997.7826760849994</v>
      </c>
      <c r="AH78" s="12">
        <f t="shared" si="125"/>
        <v>4.5499883309846556E-2</v>
      </c>
      <c r="AI78" s="64">
        <f t="shared" si="126"/>
        <v>4.3064949571552731</v>
      </c>
      <c r="AJ78" s="129">
        <f t="shared" si="113"/>
        <v>5738.8270964848898</v>
      </c>
      <c r="AK78" s="27">
        <v>5738.8270964848898</v>
      </c>
      <c r="AL78" s="98" t="s">
        <v>172</v>
      </c>
      <c r="AM78" s="46">
        <f>SUM('Datos Gastos GC'!Q78:Q81)</f>
        <v>3217.95844511</v>
      </c>
      <c r="AN78" s="40">
        <f t="shared" si="127"/>
        <v>-2.2372975036137555E-2</v>
      </c>
      <c r="AO78" s="64">
        <f t="shared" si="128"/>
        <v>-2.117568159759136</v>
      </c>
      <c r="AP78" s="64">
        <f t="shared" si="129"/>
        <v>3178.6942785031401</v>
      </c>
      <c r="AQ78" s="27">
        <v>3496.6450324816701</v>
      </c>
      <c r="AR78" s="98" t="s">
        <v>172</v>
      </c>
      <c r="AS78" s="225">
        <f>SUM('Datos Gastos GC'!T78:T81)</f>
        <v>25213.35343820331</v>
      </c>
      <c r="AT78" s="40">
        <f t="shared" si="110"/>
        <v>1.4986465282420092E-2</v>
      </c>
      <c r="AU78" s="64">
        <f t="shared" si="130"/>
        <v>1.4184462128138664</v>
      </c>
      <c r="AV78" s="64">
        <f t="shared" si="100"/>
        <v>25421.549289691695</v>
      </c>
      <c r="AW78" s="27">
        <v>24250.272979505298</v>
      </c>
      <c r="AY78" s="255" t="s">
        <v>172</v>
      </c>
      <c r="AZ78" s="251">
        <f t="shared" si="75"/>
        <v>2270.0130794066654</v>
      </c>
      <c r="BA78" s="251">
        <f t="shared" si="76"/>
        <v>9029.1758997324905</v>
      </c>
      <c r="BB78" s="251">
        <f t="shared" si="77"/>
        <v>2076.4771532973605</v>
      </c>
      <c r="BC78" s="251">
        <f t="shared" si="78"/>
        <v>1704.4582779511531</v>
      </c>
      <c r="BD78" s="251">
        <f t="shared" si="79"/>
        <v>5738.8270964848898</v>
      </c>
      <c r="BE78" s="251">
        <f t="shared" si="80"/>
        <v>3178.6942785031401</v>
      </c>
      <c r="BF78" s="251">
        <f t="shared" si="71"/>
        <v>23997.645785375698</v>
      </c>
      <c r="BG78" s="64">
        <f t="shared" si="81"/>
        <v>25213.35343820331</v>
      </c>
      <c r="BH78" s="64">
        <f t="shared" si="111"/>
        <v>21727.632705969034</v>
      </c>
      <c r="BI78" s="64">
        <f t="shared" si="112"/>
        <v>15080.124410387669</v>
      </c>
      <c r="BJ78" s="64">
        <f t="shared" si="73"/>
        <v>14997.612317008308</v>
      </c>
      <c r="BK78" s="64">
        <f t="shared" si="109"/>
        <v>8917.5213749880295</v>
      </c>
      <c r="BL78" s="64">
        <f t="shared" si="74"/>
        <v>10215.741121194998</v>
      </c>
    </row>
    <row r="79" spans="1:64" x14ac:dyDescent="0.25">
      <c r="A79" s="98" t="s">
        <v>174</v>
      </c>
      <c r="B79" s="220">
        <f>'Ingreso estructural no oil'!K78</f>
        <v>70560.950676633802</v>
      </c>
      <c r="C79" s="40">
        <f>'Ingreso estructural no oil'!L78</f>
        <v>70473.741999999998</v>
      </c>
      <c r="D79" s="12">
        <f t="shared" si="114"/>
        <v>1.0012374634035157</v>
      </c>
      <c r="E79" s="64">
        <f>'Ingreso estructural no oil'!N78</f>
        <v>103141.91399999999</v>
      </c>
      <c r="F79" s="63">
        <f t="shared" si="107"/>
        <v>1.0286492498884359E-2</v>
      </c>
      <c r="H79" s="98" t="s">
        <v>174</v>
      </c>
      <c r="I79" s="46">
        <f>SUM('Datos Gastos GC'!B79:B82)</f>
        <v>2393.2260138123138</v>
      </c>
      <c r="J79" s="12">
        <f t="shared" si="104"/>
        <v>7.9210716966295225E-2</v>
      </c>
      <c r="K79" s="40">
        <f t="shared" si="115"/>
        <v>7.7004593135012911</v>
      </c>
      <c r="L79" s="64">
        <f t="shared" ref="L79:L84" si="131">I79*((D79)^K79)</f>
        <v>2416.1259199386359</v>
      </c>
      <c r="M79" s="27">
        <v>2324.6916806732402</v>
      </c>
      <c r="N79" s="98" t="s">
        <v>174</v>
      </c>
      <c r="O79" s="46">
        <f>SUM('Datos Gastos GC'!E79:E82)</f>
        <v>9057.5269977401404</v>
      </c>
      <c r="P79" s="12">
        <f t="shared" si="116"/>
        <v>8.5055946644791991E-3</v>
      </c>
      <c r="Q79" s="40">
        <f t="shared" si="117"/>
        <v>0.82687025391810565</v>
      </c>
      <c r="R79" s="64">
        <f t="shared" si="118"/>
        <v>9066.7938634185994</v>
      </c>
      <c r="T79" s="98" t="s">
        <v>174</v>
      </c>
      <c r="U79" s="46">
        <f>SUM('Datos Gastos GC'!H79:H82)</f>
        <v>2067.8277325400068</v>
      </c>
      <c r="V79" s="40">
        <f t="shared" si="119"/>
        <v>2.4696243712452048E-3</v>
      </c>
      <c r="W79" s="64">
        <f t="shared" si="120"/>
        <v>0.24008420474841669</v>
      </c>
      <c r="X79" s="64">
        <f t="shared" si="121"/>
        <v>2068.4417860384469</v>
      </c>
      <c r="Z79" s="98" t="s">
        <v>174</v>
      </c>
      <c r="AA79" s="46">
        <f>SUM('Datos Gastos GC'!K79:K82)</f>
        <v>1662.5879955860003</v>
      </c>
      <c r="AB79" s="12">
        <f t="shared" si="122"/>
        <v>-4.2382361187334183E-2</v>
      </c>
      <c r="AC79" s="64">
        <f t="shared" si="123"/>
        <v>-4.1201956052493935</v>
      </c>
      <c r="AD79" s="129">
        <f t="shared" si="124"/>
        <v>1654.1379262020307</v>
      </c>
      <c r="AF79" s="98" t="s">
        <v>174</v>
      </c>
      <c r="AG79" s="46">
        <f>SUM('Datos Gastos GC'!N79:N82)</f>
        <v>5866.4295910849996</v>
      </c>
      <c r="AH79" s="12">
        <f t="shared" si="125"/>
        <v>-0.16167308094125465</v>
      </c>
      <c r="AI79" s="64">
        <f t="shared" si="126"/>
        <v>-15.71702705842533</v>
      </c>
      <c r="AJ79" s="129">
        <f t="shared" si="113"/>
        <v>5656.0578725669802</v>
      </c>
      <c r="AK79" s="27">
        <v>5656.0578725669802</v>
      </c>
      <c r="AL79" s="98" t="s">
        <v>174</v>
      </c>
      <c r="AM79" s="46">
        <f>SUM('Datos Gastos GC'!Q79:Q82)</f>
        <v>3179.2144832499998</v>
      </c>
      <c r="AN79" s="40">
        <f t="shared" si="127"/>
        <v>-1.2039919881151717E-2</v>
      </c>
      <c r="AO79" s="64">
        <f t="shared" si="128"/>
        <v>-1.1704592097313569</v>
      </c>
      <c r="AP79" s="64">
        <f t="shared" si="129"/>
        <v>3174.6158834254998</v>
      </c>
      <c r="AQ79" s="27">
        <v>3426.8448047944598</v>
      </c>
      <c r="AR79" s="98" t="s">
        <v>174</v>
      </c>
      <c r="AS79" s="46">
        <f>SUM('Datos Gastos GC'!T79:T82)</f>
        <v>24226.812814013465</v>
      </c>
      <c r="AT79" s="40">
        <f t="shared" si="110"/>
        <v>-3.9127703762524391E-2</v>
      </c>
      <c r="AU79" s="64">
        <f t="shared" si="130"/>
        <v>-3.8037945166214882</v>
      </c>
      <c r="AV79" s="64">
        <f t="shared" si="100"/>
        <v>24113.113974875712</v>
      </c>
      <c r="AW79" s="27">
        <v>24183.3147546787</v>
      </c>
      <c r="AY79" s="255" t="s">
        <v>174</v>
      </c>
      <c r="AZ79" s="251">
        <f t="shared" si="75"/>
        <v>2416.1259199386359</v>
      </c>
      <c r="BA79" s="251">
        <f t="shared" si="76"/>
        <v>9066.7938634185994</v>
      </c>
      <c r="BB79" s="251">
        <f t="shared" si="77"/>
        <v>2068.4417860384469</v>
      </c>
      <c r="BC79" s="251">
        <f t="shared" si="78"/>
        <v>1654.1379262020307</v>
      </c>
      <c r="BD79" s="251">
        <f t="shared" si="79"/>
        <v>5656.0578725669802</v>
      </c>
      <c r="BE79" s="251">
        <f t="shared" si="80"/>
        <v>3174.6158834254998</v>
      </c>
      <c r="BF79" s="251">
        <f t="shared" si="71"/>
        <v>24036.173251590193</v>
      </c>
      <c r="BG79" s="64">
        <f t="shared" si="81"/>
        <v>24226.812814013458</v>
      </c>
      <c r="BH79" s="64">
        <f t="shared" si="111"/>
        <v>21620.047331651556</v>
      </c>
      <c r="BI79" s="64">
        <f t="shared" si="112"/>
        <v>15205.499495597714</v>
      </c>
      <c r="BJ79" s="64">
        <f t="shared" si="73"/>
        <v>15181.16873967846</v>
      </c>
      <c r="BK79" s="64">
        <f t="shared" si="109"/>
        <v>8830.6737559924804</v>
      </c>
      <c r="BL79" s="64">
        <f t="shared" si="74"/>
        <v>9045.6440743349995</v>
      </c>
    </row>
    <row r="80" spans="1:64" x14ac:dyDescent="0.25">
      <c r="A80" s="98" t="s">
        <v>190</v>
      </c>
      <c r="B80" s="220">
        <f>'Ingreso estructural no oil'!K79</f>
        <v>70781.412112135804</v>
      </c>
      <c r="C80" s="40">
        <f>'Ingreso estructural no oil'!L79</f>
        <v>70955.691000000006</v>
      </c>
      <c r="D80" s="12">
        <f t="shared" si="114"/>
        <v>0.99754383495660404</v>
      </c>
      <c r="E80" s="64">
        <f>'Ingreso estructural no oil'!N79</f>
        <v>104295.86199999999</v>
      </c>
      <c r="F80" s="63">
        <f t="shared" si="107"/>
        <v>1.1187963799081713E-2</v>
      </c>
      <c r="H80" s="98" t="s">
        <v>190</v>
      </c>
      <c r="I80" s="46">
        <f>SUM('Datos Gastos GC'!B80:B83)</f>
        <v>2480.7572875152878</v>
      </c>
      <c r="J80" s="12">
        <f t="shared" si="104"/>
        <v>3.6574595628575901E-2</v>
      </c>
      <c r="K80" s="40">
        <f t="shared" si="115"/>
        <v>3.2691020712435517</v>
      </c>
      <c r="L80" s="64">
        <f t="shared" si="131"/>
        <v>2460.8936102805051</v>
      </c>
      <c r="M80" s="27">
        <v>2420.5757896967598</v>
      </c>
      <c r="N80" s="98" t="s">
        <v>190</v>
      </c>
      <c r="O80" s="46">
        <f>SUM('Datos Gastos GC'!E80:E83)</f>
        <v>9139.6477845801583</v>
      </c>
      <c r="P80" s="12">
        <f t="shared" si="116"/>
        <v>9.0665793058641864E-3</v>
      </c>
      <c r="Q80" s="40">
        <f t="shared" si="117"/>
        <v>0.81038690048392492</v>
      </c>
      <c r="R80" s="64">
        <f t="shared" si="118"/>
        <v>9121.4515873789187</v>
      </c>
      <c r="T80" s="98" t="s">
        <v>190</v>
      </c>
      <c r="U80" s="46">
        <f>SUM('Datos Gastos GC'!H80:H83)</f>
        <v>2138.7517849500068</v>
      </c>
      <c r="V80" s="40">
        <f t="shared" si="119"/>
        <v>3.4298820590282331E-2</v>
      </c>
      <c r="W80" s="64">
        <f t="shared" si="120"/>
        <v>3.0656892716347111</v>
      </c>
      <c r="X80" s="64">
        <f t="shared" si="121"/>
        <v>2122.6881474616462</v>
      </c>
      <c r="Z80" s="98" t="s">
        <v>190</v>
      </c>
      <c r="AA80" s="46">
        <f>SUM('Datos Gastos GC'!K80:K83)</f>
        <v>1869.8561306752986</v>
      </c>
      <c r="AB80" s="12">
        <f t="shared" si="122"/>
        <v>0.12466596393067553</v>
      </c>
      <c r="AC80" s="64">
        <f t="shared" si="123"/>
        <v>11.142864436235294</v>
      </c>
      <c r="AD80" s="129">
        <f t="shared" si="124"/>
        <v>1819.3132817201529</v>
      </c>
      <c r="AF80" s="98" t="s">
        <v>190</v>
      </c>
      <c r="AG80" s="46">
        <f>SUM('Datos Gastos GC'!N80:N83)</f>
        <v>5086.4634988600001</v>
      </c>
      <c r="AH80" s="12">
        <f t="shared" si="125"/>
        <v>-0.13295413847807624</v>
      </c>
      <c r="AI80" s="64">
        <f t="shared" si="126"/>
        <v>-11.883676142122383</v>
      </c>
      <c r="AJ80" s="129">
        <f t="shared" si="113"/>
        <v>5568.4640085634301</v>
      </c>
      <c r="AK80" s="27">
        <v>5568.4640085634301</v>
      </c>
      <c r="AL80" s="98" t="s">
        <v>190</v>
      </c>
      <c r="AM80" s="46">
        <f>SUM('Datos Gastos GC'!Q80:Q83)</f>
        <v>3595.01313725</v>
      </c>
      <c r="AN80" s="40">
        <f t="shared" si="127"/>
        <v>0.13078660033498068</v>
      </c>
      <c r="AO80" s="64">
        <f t="shared" si="128"/>
        <v>11.689937747717364</v>
      </c>
      <c r="AP80" s="64">
        <f t="shared" si="129"/>
        <v>3493.1360345164039</v>
      </c>
      <c r="AQ80" s="27">
        <v>3359.4005713933202</v>
      </c>
      <c r="AR80" s="98" t="s">
        <v>190</v>
      </c>
      <c r="AS80" s="46">
        <f>SUM('Datos Gastos GC'!T80:T83)</f>
        <v>24310.489623830756</v>
      </c>
      <c r="AT80" s="40">
        <f t="shared" si="110"/>
        <v>3.4538926131004732E-3</v>
      </c>
      <c r="AU80" s="64">
        <f t="shared" si="130"/>
        <v>0.30871503296998176</v>
      </c>
      <c r="AV80" s="64">
        <f t="shared" si="100"/>
        <v>24292.040400800935</v>
      </c>
      <c r="AW80" s="27">
        <v>24118.273791932701</v>
      </c>
      <c r="AY80" s="255" t="s">
        <v>190</v>
      </c>
      <c r="AZ80" s="251">
        <f>L80</f>
        <v>2460.8936102805051</v>
      </c>
      <c r="BA80" s="251">
        <f>R80</f>
        <v>9121.4515873789187</v>
      </c>
      <c r="BB80" s="251">
        <f>X80</f>
        <v>2122.6881474616462</v>
      </c>
      <c r="BC80" s="251">
        <f>AD80</f>
        <v>1819.3132817201529</v>
      </c>
      <c r="BD80" s="251">
        <f>AJ80</f>
        <v>5568.4640085634301</v>
      </c>
      <c r="BE80" s="251">
        <f>AP80</f>
        <v>3493.1360345164039</v>
      </c>
      <c r="BF80" s="251">
        <f t="shared" si="71"/>
        <v>24585.946669921057</v>
      </c>
      <c r="BG80" s="64">
        <f t="shared" si="81"/>
        <v>24310.489623830752</v>
      </c>
      <c r="BH80" s="64">
        <f t="shared" si="111"/>
        <v>22125.053059640552</v>
      </c>
      <c r="BI80" s="64">
        <f t="shared" si="112"/>
        <v>15524.346626841223</v>
      </c>
      <c r="BJ80" s="64">
        <f>I80+O80+U80+AA80</f>
        <v>15629.012987720751</v>
      </c>
      <c r="BK80" s="64">
        <f t="shared" si="109"/>
        <v>9061.600043079834</v>
      </c>
      <c r="BL80" s="64">
        <f>AG80+AM80</f>
        <v>8681.476636110001</v>
      </c>
    </row>
    <row r="81" spans="1:64" x14ac:dyDescent="0.25">
      <c r="A81" s="98" t="s">
        <v>252</v>
      </c>
      <c r="B81" s="220">
        <f>'Ingreso estructural no oil'!K80</f>
        <v>71022.690335101695</v>
      </c>
      <c r="C81" s="40">
        <f>'Ingreso estructural no oil'!L80</f>
        <v>71274.682000000001</v>
      </c>
      <c r="D81" s="181">
        <f t="shared" si="114"/>
        <v>0.99646449962557104</v>
      </c>
      <c r="E81" s="64">
        <f>'Ingreso estructural no oil'!N80</f>
        <v>105189.34899999999</v>
      </c>
      <c r="F81" s="63">
        <f t="shared" si="107"/>
        <v>8.5668499484667926E-3</v>
      </c>
      <c r="I81" s="46">
        <f>SUM('Datos Gastos GC'!B81:B84)</f>
        <v>2499.8188690153756</v>
      </c>
      <c r="J81" s="181">
        <f>(I81/I80)-1</f>
        <v>7.6837752713727614E-3</v>
      </c>
      <c r="K81" s="40">
        <f t="shared" si="115"/>
        <v>0.89691955824998726</v>
      </c>
      <c r="L81" s="64">
        <f t="shared" si="131"/>
        <v>2491.8903484509524</v>
      </c>
      <c r="O81" s="46">
        <f>SUM('Datos Gastos GC'!E81:E84)</f>
        <v>9211.1372874911503</v>
      </c>
      <c r="P81" s="181">
        <f t="shared" si="116"/>
        <v>7.8219100556156107E-3</v>
      </c>
      <c r="Q81" s="40">
        <f t="shared" si="117"/>
        <v>0.91304389625914906</v>
      </c>
      <c r="R81" s="64">
        <f t="shared" si="118"/>
        <v>9181.3985423361901</v>
      </c>
      <c r="U81" s="46">
        <f>SUM('Datos Gastos GC'!H81:H84)</f>
        <v>2075.6043502200073</v>
      </c>
      <c r="V81" s="40">
        <f t="shared" si="119"/>
        <v>-2.9525368569815358E-2</v>
      </c>
      <c r="W81" s="64">
        <f t="shared" si="120"/>
        <v>-3.4464673418377672</v>
      </c>
      <c r="X81" s="64">
        <f t="shared" si="121"/>
        <v>2101.0956397525592</v>
      </c>
      <c r="AA81" s="46">
        <f>SUM('Datos Gastos GC'!K81:K84)</f>
        <v>2023.730824725299</v>
      </c>
      <c r="AB81" s="181">
        <f t="shared" si="122"/>
        <v>8.2292263840870294E-2</v>
      </c>
      <c r="AC81" s="64">
        <f t="shared" si="123"/>
        <v>9.6058953216051286</v>
      </c>
      <c r="AD81" s="129">
        <f t="shared" si="124"/>
        <v>1956.0378590167197</v>
      </c>
      <c r="AG81" s="46">
        <f>SUM('Datos Gastos GC'!N81:N84)</f>
        <v>4346.9982062699992</v>
      </c>
      <c r="AH81" s="181">
        <f t="shared" si="125"/>
        <v>-0.14537906204492235</v>
      </c>
      <c r="AI81" s="64">
        <f t="shared" si="126"/>
        <v>-16.969955458475237</v>
      </c>
      <c r="AJ81" s="64">
        <f>AG81*((D81)^AI81)</f>
        <v>4616.2797606978002</v>
      </c>
      <c r="AM81" s="46">
        <f>SUM('Datos Gastos GC'!Q81:Q84)</f>
        <v>3568.93452527</v>
      </c>
      <c r="AN81" s="40">
        <f t="shared" si="127"/>
        <v>-7.2541075607720495E-3</v>
      </c>
      <c r="AO81" s="64">
        <f t="shared" si="128"/>
        <v>-0.84676486741434243</v>
      </c>
      <c r="AP81" s="64">
        <f t="shared" si="129"/>
        <v>3579.6539765029793</v>
      </c>
      <c r="AS81" s="46">
        <f>SUM('Datos Gastos GC'!T81:T84)</f>
        <v>23726.224062991834</v>
      </c>
      <c r="AT81" s="40">
        <f t="shared" si="110"/>
        <v>-2.4033475667482485E-2</v>
      </c>
      <c r="AU81" s="64">
        <f t="shared" si="130"/>
        <v>-2.805404064744212</v>
      </c>
      <c r="AV81" s="64">
        <f>AS81*((D81)^AU81)</f>
        <v>23963.144853865531</v>
      </c>
      <c r="AZ81" s="251">
        <f>L81</f>
        <v>2491.8903484509524</v>
      </c>
      <c r="BA81" s="251">
        <f>R81</f>
        <v>9181.3985423361901</v>
      </c>
      <c r="BB81" s="251">
        <f>X81</f>
        <v>2101.0956397525592</v>
      </c>
      <c r="BC81" s="251">
        <f>AD81</f>
        <v>1956.0378590167197</v>
      </c>
      <c r="BD81" s="251">
        <f>AJ81</f>
        <v>4616.2797606978002</v>
      </c>
      <c r="BE81" s="251">
        <f>AP81</f>
        <v>3579.6539765029793</v>
      </c>
      <c r="BF81" s="251">
        <f>SUM(AZ81:BE81)</f>
        <v>23926.3561267572</v>
      </c>
      <c r="BG81" s="64">
        <f>(I81+O81+U81+AA81+AG81+AM81)</f>
        <v>23726.224062991834</v>
      </c>
      <c r="BH81" s="64">
        <f t="shared" si="111"/>
        <v>21434.465778306247</v>
      </c>
      <c r="BI81" s="64">
        <f t="shared" si="112"/>
        <v>15730.422389556421</v>
      </c>
      <c r="BJ81" s="64">
        <f>I81+O81+U81+AA81</f>
        <v>15810.291331451834</v>
      </c>
      <c r="BK81" s="64">
        <f t="shared" si="109"/>
        <v>8195.9337372007794</v>
      </c>
      <c r="BL81" s="64">
        <f>AG81+AM81</f>
        <v>7915.9327315399987</v>
      </c>
    </row>
    <row r="82" spans="1:64" x14ac:dyDescent="0.25">
      <c r="A82" s="98" t="s">
        <v>250</v>
      </c>
      <c r="B82" s="220">
        <f>'Ingreso estructural no oil'!K81</f>
        <v>71275.786818095105</v>
      </c>
      <c r="C82" s="40">
        <f>'Ingreso estructural no oil'!L81</f>
        <v>71528.396999999997</v>
      </c>
      <c r="D82" s="181">
        <f t="shared" si="114"/>
        <v>0.99646839307883706</v>
      </c>
      <c r="E82" s="64">
        <f>'Ingreso estructural no oil'!N81</f>
        <v>105963.338</v>
      </c>
      <c r="F82" s="63">
        <f t="shared" si="107"/>
        <v>7.3580548540139734E-3</v>
      </c>
      <c r="I82" s="46">
        <f>SUM('Datos Gastos GC'!B82:B85)</f>
        <v>2675.9279023822073</v>
      </c>
      <c r="J82" s="181">
        <f>(I82/I81)-1</f>
        <v>7.0448717524961069E-2</v>
      </c>
      <c r="K82" s="40">
        <f t="shared" si="115"/>
        <v>9.574366992729038</v>
      </c>
      <c r="L82" s="64">
        <f t="shared" si="131"/>
        <v>2586.8048124407514</v>
      </c>
      <c r="O82" s="46">
        <f>SUM('Datos Gastos GC'!E82:E85)</f>
        <v>9300.4031555213787</v>
      </c>
      <c r="P82" s="181">
        <f t="shared" si="116"/>
        <v>9.6910799659291058E-3</v>
      </c>
      <c r="Q82" s="40">
        <f t="shared" si="117"/>
        <v>1.3170709050425764</v>
      </c>
      <c r="R82" s="64">
        <f t="shared" si="118"/>
        <v>9257.1677167026846</v>
      </c>
      <c r="U82" s="46">
        <f>SUM('Datos Gastos GC'!H82:H85)</f>
        <v>2139.8248376200117</v>
      </c>
      <c r="V82" s="40">
        <f t="shared" si="119"/>
        <v>3.0940620929608809E-2</v>
      </c>
      <c r="W82" s="64">
        <f t="shared" si="120"/>
        <v>4.2050000364879105</v>
      </c>
      <c r="X82" s="64">
        <f t="shared" si="121"/>
        <v>2108.22694134316</v>
      </c>
      <c r="AA82" s="46">
        <f>SUM('Datos Gastos GC'!K82:K85)</f>
        <v>2208.092719125299</v>
      </c>
      <c r="AB82" s="181">
        <f t="shared" si="122"/>
        <v>9.1100008038383917E-2</v>
      </c>
      <c r="AC82" s="64">
        <f t="shared" si="123"/>
        <v>12.380990607685801</v>
      </c>
      <c r="AD82" s="129">
        <f t="shared" si="124"/>
        <v>2113.4611015823011</v>
      </c>
      <c r="AG82" s="46">
        <f>SUM('Datos Gastos GC'!N82:N85)</f>
        <v>3853.0358746100001</v>
      </c>
      <c r="AH82" s="181">
        <f t="shared" si="125"/>
        <v>-0.11363297342693179</v>
      </c>
      <c r="AI82" s="64">
        <f t="shared" si="126"/>
        <v>-15.443344155683024</v>
      </c>
      <c r="AJ82" s="64">
        <f>AG82*((D82)^AI82)</f>
        <v>4069.4088023019826</v>
      </c>
      <c r="AM82" s="46">
        <f>SUM('Datos Gastos GC'!Q82:Q85)</f>
        <v>3628.3754055300001</v>
      </c>
      <c r="AN82" s="40">
        <f t="shared" si="127"/>
        <v>1.6655077261610307E-2</v>
      </c>
      <c r="AO82" s="64">
        <f t="shared" si="128"/>
        <v>2.2635163221873253</v>
      </c>
      <c r="AP82" s="64">
        <f t="shared" si="129"/>
        <v>3599.4354100184255</v>
      </c>
      <c r="AS82" s="46">
        <f>SUM('Datos Gastos GC'!T82:T85)</f>
        <v>23805.659894788896</v>
      </c>
      <c r="AT82" s="40">
        <f t="shared" si="110"/>
        <v>3.3480182765772692E-3</v>
      </c>
      <c r="AU82" s="64">
        <f t="shared" si="130"/>
        <v>0.45501404148283225</v>
      </c>
      <c r="AV82" s="64">
        <f>AS82*((D82)^AU82)</f>
        <v>23767.368967730872</v>
      </c>
      <c r="AZ82" s="251">
        <f>L82</f>
        <v>2586.8048124407514</v>
      </c>
      <c r="BA82" s="251">
        <f>R82</f>
        <v>9257.1677167026846</v>
      </c>
      <c r="BB82" s="251">
        <f>X82</f>
        <v>2108.22694134316</v>
      </c>
      <c r="BC82" s="251">
        <f>AD82</f>
        <v>2113.4611015823011</v>
      </c>
      <c r="BD82" s="251">
        <f>AJ82</f>
        <v>4069.4088023019826</v>
      </c>
      <c r="BE82" s="251">
        <f>AP82</f>
        <v>3599.4354100184255</v>
      </c>
      <c r="BF82" s="251">
        <f>SUM(AZ82:BE82)</f>
        <v>23734.504784389304</v>
      </c>
      <c r="BG82" s="64">
        <f>(I82+O82+U82+AA82+AG82+AM82)</f>
        <v>23805.6598947889</v>
      </c>
      <c r="BH82" s="64">
        <f t="shared" si="111"/>
        <v>21147.699971948554</v>
      </c>
      <c r="BI82" s="64">
        <f t="shared" si="112"/>
        <v>16065.660572068899</v>
      </c>
      <c r="BJ82" s="64">
        <f>I82+O82+U82+AA82</f>
        <v>16324.248614648897</v>
      </c>
      <c r="BK82" s="64">
        <f t="shared" si="109"/>
        <v>7668.8442123204077</v>
      </c>
      <c r="BL82" s="64">
        <f>AG82+AM82</f>
        <v>7481.4112801400006</v>
      </c>
    </row>
    <row r="83" spans="1:64" x14ac:dyDescent="0.25">
      <c r="A83" s="98" t="s">
        <v>251</v>
      </c>
      <c r="B83" s="220">
        <f>'Ingreso estructural no oil'!K82</f>
        <v>71534.223130328595</v>
      </c>
      <c r="C83" s="40">
        <f>'Ingreso estructural no oil'!L82</f>
        <v>71790.716</v>
      </c>
      <c r="D83" s="181">
        <f t="shared" si="114"/>
        <v>0.99642721393569322</v>
      </c>
      <c r="E83" s="64">
        <f>'Ingreso estructural no oil'!N82</f>
        <v>107269.917</v>
      </c>
      <c r="F83" s="63">
        <f t="shared" si="107"/>
        <v>1.2330481699245777E-2</v>
      </c>
      <c r="I83" s="46">
        <f>SUM('Datos Gastos GC'!B83:B86)</f>
        <v>2807.7912957421759</v>
      </c>
      <c r="J83" s="181">
        <f>(I83/I82)-1</f>
        <v>4.9277633094142459E-2</v>
      </c>
      <c r="K83" s="40">
        <f t="shared" si="115"/>
        <v>3.9964077881204467</v>
      </c>
      <c r="L83" s="64">
        <f t="shared" si="131"/>
        <v>2767.9148662791649</v>
      </c>
      <c r="O83" s="46">
        <f>SUM('Datos Gastos GC'!E83:E86)</f>
        <v>9363.0687555715413</v>
      </c>
      <c r="P83" s="181">
        <f t="shared" si="116"/>
        <v>6.7379444742630135E-3</v>
      </c>
      <c r="Q83" s="40">
        <f t="shared" si="117"/>
        <v>0.54644616800941004</v>
      </c>
      <c r="R83" s="64">
        <f t="shared" si="118"/>
        <v>9344.7740698615817</v>
      </c>
      <c r="U83" s="46">
        <f>SUM('Datos Gastos GC'!H83:H86)</f>
        <v>2245.1176641000066</v>
      </c>
      <c r="V83" s="40">
        <f t="shared" si="119"/>
        <v>4.9206282976463234E-2</v>
      </c>
      <c r="W83" s="64">
        <f t="shared" si="120"/>
        <v>3.990621305530428</v>
      </c>
      <c r="X83" s="64">
        <f t="shared" si="121"/>
        <v>2213.2781995940904</v>
      </c>
      <c r="AA83" s="46">
        <f>SUM('Datos Gastos GC'!K83:K86)</f>
        <v>2395.0013885152994</v>
      </c>
      <c r="AB83" s="181">
        <f t="shared" si="122"/>
        <v>8.4647110952859483E-2</v>
      </c>
      <c r="AC83" s="64">
        <f t="shared" si="123"/>
        <v>6.8648665167750202</v>
      </c>
      <c r="AD83" s="129">
        <f t="shared" si="124"/>
        <v>2336.8717879207979</v>
      </c>
      <c r="AG83" s="46">
        <f>SUM('Datos Gastos GC'!N83:N86)</f>
        <v>3876.2417358900011</v>
      </c>
      <c r="AH83" s="181">
        <f t="shared" si="125"/>
        <v>6.0227472661023018E-3</v>
      </c>
      <c r="AI83" s="64">
        <f t="shared" si="126"/>
        <v>0.48844379424939233</v>
      </c>
      <c r="AJ83" s="64">
        <f>AG83*((D83)^AI83)</f>
        <v>3869.4710935722924</v>
      </c>
      <c r="AM83" s="46">
        <f>SUM('Datos Gastos GC'!Q83:Q86)</f>
        <v>3938.630986449999</v>
      </c>
      <c r="AN83" s="40">
        <f t="shared" si="127"/>
        <v>8.5508125881114339E-2</v>
      </c>
      <c r="AO83" s="64">
        <f t="shared" si="128"/>
        <v>6.9346946832048459</v>
      </c>
      <c r="AP83" s="64">
        <f t="shared" si="129"/>
        <v>3842.0752539543323</v>
      </c>
      <c r="AS83" s="46">
        <f>SUM('Datos Gastos GC'!T83:T86)</f>
        <v>24625.851826269023</v>
      </c>
      <c r="AT83" s="40">
        <f t="shared" si="110"/>
        <v>3.4453652413124924E-2</v>
      </c>
      <c r="AU83" s="64">
        <f t="shared" si="130"/>
        <v>2.794185438451473</v>
      </c>
      <c r="AV83" s="64">
        <f>AS83*((D83)^AU83)</f>
        <v>24380.798490747118</v>
      </c>
      <c r="AZ83" s="251">
        <f>L83</f>
        <v>2767.9148662791649</v>
      </c>
      <c r="BA83" s="251">
        <f>R83</f>
        <v>9344.7740698615817</v>
      </c>
      <c r="BB83" s="251">
        <f>X83</f>
        <v>2213.2781995940904</v>
      </c>
      <c r="BC83" s="251">
        <f>AD83</f>
        <v>2336.8717879207979</v>
      </c>
      <c r="BD83" s="251">
        <f>AJ83</f>
        <v>3869.4710935722924</v>
      </c>
      <c r="BE83" s="251">
        <f>AP83</f>
        <v>3842.0752539543323</v>
      </c>
      <c r="BF83" s="251">
        <f>SUM(AZ83:BE83)</f>
        <v>24374.385271182262</v>
      </c>
      <c r="BG83" s="64">
        <f>(I83+O83+U83+AA83+AG83+AM83)</f>
        <v>24625.851826269023</v>
      </c>
      <c r="BH83" s="64">
        <f t="shared" si="111"/>
        <v>21606.470404903099</v>
      </c>
      <c r="BI83" s="64">
        <f t="shared" si="112"/>
        <v>16662.838923655636</v>
      </c>
      <c r="BJ83" s="64">
        <f>I83+O83+U83+AA83</f>
        <v>16810.979103929021</v>
      </c>
      <c r="BK83" s="64">
        <f t="shared" si="109"/>
        <v>7711.5463475266242</v>
      </c>
      <c r="BL83" s="64">
        <f>AG83+AM83</f>
        <v>7814.8727223400001</v>
      </c>
    </row>
    <row r="84" spans="1:64" x14ac:dyDescent="0.25">
      <c r="A84" s="98" t="s">
        <v>253</v>
      </c>
      <c r="B84" s="220">
        <f>'Ingreso estructural no oil'!K83</f>
        <v>71794.046972833705</v>
      </c>
      <c r="C84" s="40">
        <f>'Ingreso estructural no oil'!L83</f>
        <v>71932.841</v>
      </c>
      <c r="D84" s="181">
        <f t="shared" si="114"/>
        <v>0.99807050541537357</v>
      </c>
      <c r="E84" s="64">
        <f>'Ingreso estructural no oil'!N83</f>
        <v>108398.058</v>
      </c>
      <c r="F84" s="63">
        <f t="shared" si="107"/>
        <v>1.0516844158646954E-2</v>
      </c>
      <c r="I84" s="46">
        <f>SUM('Datos Gastos GC'!B84:B87)</f>
        <v>2979.1103535429552</v>
      </c>
      <c r="J84" s="181">
        <f>(I84/I83)-1</f>
        <v>6.1015595447059479E-2</v>
      </c>
      <c r="K84" s="40">
        <f t="shared" si="115"/>
        <v>5.8017019674949193</v>
      </c>
      <c r="L84" s="64">
        <f t="shared" si="131"/>
        <v>2945.9152526481344</v>
      </c>
      <c r="O84" s="46">
        <f>SUM('Datos Gastos GC'!E84:E87)</f>
        <v>9450.5380163818882</v>
      </c>
      <c r="P84" s="181">
        <f t="shared" si="116"/>
        <v>9.3419436611845708E-3</v>
      </c>
      <c r="Q84" s="40">
        <f t="shared" si="117"/>
        <v>0.88828393007075424</v>
      </c>
      <c r="R84" s="64">
        <f t="shared" si="118"/>
        <v>9434.3386233999936</v>
      </c>
      <c r="U84" s="46">
        <f>SUM('Datos Gastos GC'!H84:H87)</f>
        <v>2419.5226708000114</v>
      </c>
      <c r="V84" s="40">
        <f t="shared" si="119"/>
        <v>7.7681900369314549E-2</v>
      </c>
      <c r="W84" s="64">
        <f t="shared" si="120"/>
        <v>7.3864268783943574</v>
      </c>
      <c r="X84" s="64">
        <f t="shared" si="121"/>
        <v>2385.2511892197808</v>
      </c>
      <c r="AA84" s="46">
        <f>SUM('Datos Gastos GC'!K84:K87)</f>
        <v>2420.5848386999996</v>
      </c>
      <c r="AB84" s="181">
        <f t="shared" si="122"/>
        <v>1.0682018936348125E-2</v>
      </c>
      <c r="AC84" s="64">
        <f t="shared" si="123"/>
        <v>1.0157057359802526</v>
      </c>
      <c r="AD84" s="129">
        <f t="shared" si="124"/>
        <v>2415.8410515631822</v>
      </c>
      <c r="AG84" s="46">
        <f>SUM('Datos Gastos GC'!N84:N87)</f>
        <v>3243.3770139900007</v>
      </c>
      <c r="AH84" s="181">
        <f t="shared" si="125"/>
        <v>-0.16326760945797725</v>
      </c>
      <c r="AI84" s="64">
        <f t="shared" si="126"/>
        <v>-15.524391822782555</v>
      </c>
      <c r="AJ84" s="64">
        <f>AG84*((D84)^AI84)</f>
        <v>3342.0962861942066</v>
      </c>
      <c r="AM84" s="46">
        <f>SUM('Datos Gastos GC'!Q84:Q87)</f>
        <v>3641.3494350299998</v>
      </c>
      <c r="AN84" s="40">
        <f t="shared" si="127"/>
        <v>-7.547839653999866E-2</v>
      </c>
      <c r="AO84" s="64">
        <f t="shared" si="128"/>
        <v>-7.1769054862280415</v>
      </c>
      <c r="AP84" s="64">
        <f t="shared" si="129"/>
        <v>3692.1742566320881</v>
      </c>
      <c r="AS84" s="46">
        <f>SUM('Datos Gastos GC'!T84:T87)</f>
        <v>24154.482328444854</v>
      </c>
      <c r="AT84" s="40">
        <f t="shared" si="110"/>
        <v>-1.9141246408432733E-2</v>
      </c>
      <c r="AU84" s="64">
        <f t="shared" si="130"/>
        <v>-1.8200561042539354</v>
      </c>
      <c r="AV84" s="64">
        <f>AS84*((D84)^AU84)</f>
        <v>24239.53910713446</v>
      </c>
      <c r="AZ84" s="251">
        <f>L84</f>
        <v>2945.9152526481344</v>
      </c>
      <c r="BA84" s="251">
        <f>R84</f>
        <v>9434.3386233999936</v>
      </c>
      <c r="BB84" s="251">
        <f>X84</f>
        <v>2385.2511892197808</v>
      </c>
      <c r="BC84" s="251">
        <f>AD84</f>
        <v>2415.8410515631822</v>
      </c>
      <c r="BD84" s="251">
        <f>AJ84</f>
        <v>3342.0962861942066</v>
      </c>
      <c r="BE84" s="251">
        <f>AP84</f>
        <v>3692.1742566320881</v>
      </c>
      <c r="BF84" s="251">
        <f>SUM(AZ84:BE84)</f>
        <v>24215.616659657382</v>
      </c>
      <c r="BG84" s="64">
        <f>(I84+O84+U84+AA84+AG84+AM84)</f>
        <v>24154.482328444854</v>
      </c>
      <c r="BH84" s="64">
        <f t="shared" si="111"/>
        <v>21269.701407009248</v>
      </c>
      <c r="BI84" s="64">
        <f t="shared" si="112"/>
        <v>17181.34611683109</v>
      </c>
      <c r="BJ84" s="64">
        <f>I84+O84+U84+AA84</f>
        <v>17269.755879424854</v>
      </c>
      <c r="BK84" s="64">
        <f t="shared" si="109"/>
        <v>7034.2705428262943</v>
      </c>
      <c r="BL84" s="64">
        <f>AG84+AM84</f>
        <v>6884.7264490200005</v>
      </c>
    </row>
    <row r="85" spans="1:64" x14ac:dyDescent="0.25">
      <c r="D85" s="9">
        <v>0.99646449962557104</v>
      </c>
      <c r="F85" s="386">
        <v>-1.9456603180105003E-2</v>
      </c>
      <c r="AS85" s="385">
        <v>23200</v>
      </c>
      <c r="AT85" s="40">
        <f t="shared" si="110"/>
        <v>-3.9515743515680102E-2</v>
      </c>
      <c r="AU85" s="64">
        <f>AT85/F85</f>
        <v>2.0309682604868153</v>
      </c>
      <c r="AV85" s="387">
        <f>AS85*((D85)^AU85)</f>
        <v>23033.716247550914</v>
      </c>
      <c r="BF85" s="388">
        <v>23033.716247550914</v>
      </c>
    </row>
    <row r="86" spans="1:64" x14ac:dyDescent="0.25">
      <c r="D86" s="9">
        <v>0.99646839307883706</v>
      </c>
      <c r="F86" s="386">
        <v>1.3557376586476488E-2</v>
      </c>
      <c r="AS86" s="385">
        <v>22800</v>
      </c>
      <c r="AT86" s="63">
        <f>(AS86/AS85)-1</f>
        <v>-1.7241379310344862E-2</v>
      </c>
      <c r="AU86" s="181">
        <f t="shared" si="130"/>
        <v>-1.2717341884227937</v>
      </c>
      <c r="AV86" s="387">
        <f t="shared" ref="AV86:AV89" si="132">AS86*((D86)^AU86)</f>
        <v>22902.813210508561</v>
      </c>
      <c r="BF86" s="388">
        <v>22902.813210508561</v>
      </c>
    </row>
    <row r="87" spans="1:64" x14ac:dyDescent="0.25">
      <c r="D87" s="9">
        <v>0.99642721393569322</v>
      </c>
      <c r="F87" s="386">
        <v>2.6371484266221046E-2</v>
      </c>
      <c r="AS87" s="385">
        <v>22171</v>
      </c>
      <c r="AT87" s="40">
        <f t="shared" si="110"/>
        <v>-2.7587719298245661E-2</v>
      </c>
      <c r="AU87" s="64">
        <f t="shared" si="130"/>
        <v>-1.0461193241816304</v>
      </c>
      <c r="AV87" s="387">
        <f t="shared" si="132"/>
        <v>22254.169445171887</v>
      </c>
      <c r="BF87" s="388">
        <v>22254.169445171887</v>
      </c>
    </row>
    <row r="88" spans="1:64" x14ac:dyDescent="0.25">
      <c r="D88" s="9">
        <v>0.99807050541537357</v>
      </c>
      <c r="F88" s="386">
        <v>3.8093170903763296E-2</v>
      </c>
      <c r="AS88" s="385">
        <v>23890</v>
      </c>
      <c r="AT88" s="40">
        <f t="shared" si="110"/>
        <v>7.7533715213567334E-2</v>
      </c>
      <c r="AU88" s="64">
        <f t="shared" si="130"/>
        <v>2.0353704712439056</v>
      </c>
      <c r="AV88" s="387">
        <f t="shared" si="132"/>
        <v>23796.272038350235</v>
      </c>
      <c r="BF88" s="388">
        <v>23796.272038350235</v>
      </c>
    </row>
    <row r="89" spans="1:64" x14ac:dyDescent="0.25">
      <c r="D89" s="9">
        <v>0.99805186257043499</v>
      </c>
      <c r="F89" s="386">
        <v>3.2400268332418491E-2</v>
      </c>
      <c r="AS89" s="385">
        <v>23702</v>
      </c>
      <c r="AT89" s="40">
        <f t="shared" si="110"/>
        <v>-7.8694014231895926E-3</v>
      </c>
      <c r="AU89" s="64">
        <f t="shared" si="130"/>
        <v>-0.2428807484694738</v>
      </c>
      <c r="AV89" s="387">
        <f t="shared" si="132"/>
        <v>23713.22855586564</v>
      </c>
      <c r="BF89" s="388">
        <v>23713.22855586564</v>
      </c>
    </row>
  </sheetData>
  <mergeCells count="21">
    <mergeCell ref="AZ2:BC2"/>
    <mergeCell ref="BD2:BE2"/>
    <mergeCell ref="AZ1:BF1"/>
    <mergeCell ref="BF2:BF3"/>
    <mergeCell ref="AY1:AY2"/>
    <mergeCell ref="AR2:AV2"/>
    <mergeCell ref="H1:AD1"/>
    <mergeCell ref="AF1:AP1"/>
    <mergeCell ref="H2:L2"/>
    <mergeCell ref="N2:R2"/>
    <mergeCell ref="T2:X2"/>
    <mergeCell ref="Z2:AD2"/>
    <mergeCell ref="AF2:AJ2"/>
    <mergeCell ref="AL2:AP2"/>
    <mergeCell ref="E2:E3"/>
    <mergeCell ref="A1:F1"/>
    <mergeCell ref="F2:F3"/>
    <mergeCell ref="D2:D3"/>
    <mergeCell ref="C2:C3"/>
    <mergeCell ref="B2:B3"/>
    <mergeCell ref="A2:A3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08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Equation.3" shapeId="3086" r:id="rId4"/>
      </mc:Fallback>
    </mc:AlternateContent>
    <mc:AlternateContent xmlns:mc="http://schemas.openxmlformats.org/markup-compatibility/2006">
      <mc:Choice Requires="x14">
        <oleObject progId="Equation.3" shapeId="3090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Equation.3" shapeId="3090" r:id="rId6"/>
      </mc:Fallback>
    </mc:AlternateContent>
    <mc:AlternateContent xmlns:mc="http://schemas.openxmlformats.org/markup-compatibility/2006">
      <mc:Choice Requires="x14">
        <oleObject progId="Equation.3" shapeId="3099" r:id="rId8">
          <objectPr defaultSize="0" autoPict="0" r:id="rId9">
            <anchor moveWithCells="1">
              <from>
                <xdr:col>3</xdr:col>
                <xdr:colOff>76200</xdr:colOff>
                <xdr:row>1</xdr:row>
                <xdr:rowOff>133350</xdr:rowOff>
              </from>
              <to>
                <xdr:col>3</xdr:col>
                <xdr:colOff>609600</xdr:colOff>
                <xdr:row>2</xdr:row>
                <xdr:rowOff>104775</xdr:rowOff>
              </to>
            </anchor>
          </objectPr>
        </oleObject>
      </mc:Choice>
      <mc:Fallback>
        <oleObject progId="Equation.3" shapeId="3099" r:id="rId8"/>
      </mc:Fallback>
    </mc:AlternateContent>
    <mc:AlternateContent xmlns:mc="http://schemas.openxmlformats.org/markup-compatibility/2006">
      <mc:Choice Requires="x14">
        <oleObject progId="Equation.3" shapeId="3100" r:id="rId10">
          <objectPr defaultSize="0" autoPict="0" r:id="rId11">
            <anchor moveWithCells="1">
              <from>
                <xdr:col>5</xdr:col>
                <xdr:colOff>28575</xdr:colOff>
                <xdr:row>2</xdr:row>
                <xdr:rowOff>161925</xdr:rowOff>
              </from>
              <to>
                <xdr:col>5</xdr:col>
                <xdr:colOff>628650</xdr:colOff>
                <xdr:row>2</xdr:row>
                <xdr:rowOff>400050</xdr:rowOff>
              </to>
            </anchor>
          </objectPr>
        </oleObject>
      </mc:Choice>
      <mc:Fallback>
        <oleObject progId="Equation.3" shapeId="3100" r:id="rId10"/>
      </mc:Fallback>
    </mc:AlternateContent>
    <mc:AlternateContent xmlns:mc="http://schemas.openxmlformats.org/markup-compatibility/2006">
      <mc:Choice Requires="x14">
        <oleObject progId="Equation.3" shapeId="3104" r:id="rId12">
          <objectPr defaultSize="0" autoPict="0" r:id="rId13">
            <anchor moveWithCells="1">
              <from>
                <xdr:col>23</xdr:col>
                <xdr:colOff>57150</xdr:colOff>
                <xdr:row>2</xdr:row>
                <xdr:rowOff>438150</xdr:rowOff>
              </from>
              <to>
                <xdr:col>23</xdr:col>
                <xdr:colOff>781050</xdr:colOff>
                <xdr:row>9</xdr:row>
                <xdr:rowOff>180975</xdr:rowOff>
              </to>
            </anchor>
          </objectPr>
        </oleObject>
      </mc:Choice>
      <mc:Fallback>
        <oleObject progId="Equation.3" shapeId="3104" r:id="rId12"/>
      </mc:Fallback>
    </mc:AlternateContent>
    <mc:AlternateContent xmlns:mc="http://schemas.openxmlformats.org/markup-compatibility/2006">
      <mc:Choice Requires="x14">
        <oleObject progId="Equation.3" shapeId="3106" r:id="rId14">
          <objectPr defaultSize="0" autoPict="0" r:id="rId15">
            <anchor moveWithCells="1">
              <from>
                <xdr:col>29</xdr:col>
                <xdr:colOff>47625</xdr:colOff>
                <xdr:row>2</xdr:row>
                <xdr:rowOff>419100</xdr:rowOff>
              </from>
              <to>
                <xdr:col>30</xdr:col>
                <xdr:colOff>0</xdr:colOff>
                <xdr:row>8</xdr:row>
                <xdr:rowOff>152400</xdr:rowOff>
              </to>
            </anchor>
          </objectPr>
        </oleObject>
      </mc:Choice>
      <mc:Fallback>
        <oleObject progId="Equation.3" shapeId="3106" r:id="rId14"/>
      </mc:Fallback>
    </mc:AlternateContent>
    <mc:AlternateContent xmlns:mc="http://schemas.openxmlformats.org/markup-compatibility/2006">
      <mc:Choice Requires="x14">
        <oleObject progId="Equation.3" shapeId="3107" r:id="rId16">
          <objectPr defaultSize="0" autoPict="0" r:id="rId17">
            <anchor moveWithCells="1">
              <from>
                <xdr:col>27</xdr:col>
                <xdr:colOff>47625</xdr:colOff>
                <xdr:row>2</xdr:row>
                <xdr:rowOff>219075</xdr:rowOff>
              </from>
              <to>
                <xdr:col>27</xdr:col>
                <xdr:colOff>771525</xdr:colOff>
                <xdr:row>8</xdr:row>
                <xdr:rowOff>9525</xdr:rowOff>
              </to>
            </anchor>
          </objectPr>
        </oleObject>
      </mc:Choice>
      <mc:Fallback>
        <oleObject progId="Equation.3" shapeId="3107" r:id="rId16"/>
      </mc:Fallback>
    </mc:AlternateContent>
    <mc:AlternateContent xmlns:mc="http://schemas.openxmlformats.org/markup-compatibility/2006">
      <mc:Choice Requires="x14">
        <oleObject progId="Equation.3" shapeId="3108" r:id="rId18">
          <objectPr defaultSize="0" autoPict="0" r:id="rId19">
            <anchor moveWithCells="1">
              <from>
                <xdr:col>35</xdr:col>
                <xdr:colOff>47625</xdr:colOff>
                <xdr:row>2</xdr:row>
                <xdr:rowOff>228600</xdr:rowOff>
              </from>
              <to>
                <xdr:col>35</xdr:col>
                <xdr:colOff>1019175</xdr:colOff>
                <xdr:row>8</xdr:row>
                <xdr:rowOff>142875</xdr:rowOff>
              </to>
            </anchor>
          </objectPr>
        </oleObject>
      </mc:Choice>
      <mc:Fallback>
        <oleObject progId="Equation.3" shapeId="3108" r:id="rId18"/>
      </mc:Fallback>
    </mc:AlternateContent>
    <mc:AlternateContent xmlns:mc="http://schemas.openxmlformats.org/markup-compatibility/2006">
      <mc:Choice Requires="x14">
        <oleObject progId="Equation.3" shapeId="3109" r:id="rId20">
          <objectPr defaultSize="0" autoPict="0" r:id="rId17">
            <anchor moveWithCells="1">
              <from>
                <xdr:col>33</xdr:col>
                <xdr:colOff>38100</xdr:colOff>
                <xdr:row>2</xdr:row>
                <xdr:rowOff>257175</xdr:rowOff>
              </from>
              <to>
                <xdr:col>34</xdr:col>
                <xdr:colOff>0</xdr:colOff>
                <xdr:row>8</xdr:row>
                <xdr:rowOff>95250</xdr:rowOff>
              </to>
            </anchor>
          </objectPr>
        </oleObject>
      </mc:Choice>
      <mc:Fallback>
        <oleObject progId="Equation.3" shapeId="3109" r:id="rId20"/>
      </mc:Fallback>
    </mc:AlternateContent>
    <mc:AlternateContent xmlns:mc="http://schemas.openxmlformats.org/markup-compatibility/2006">
      <mc:Choice Requires="x14">
        <oleObject progId="Equation.3" shapeId="3110" r:id="rId21">
          <objectPr defaultSize="0" autoPict="0" r:id="rId22">
            <anchor moveWithCells="1">
              <from>
                <xdr:col>41</xdr:col>
                <xdr:colOff>47625</xdr:colOff>
                <xdr:row>2</xdr:row>
                <xdr:rowOff>200025</xdr:rowOff>
              </from>
              <to>
                <xdr:col>41</xdr:col>
                <xdr:colOff>1019175</xdr:colOff>
                <xdr:row>8</xdr:row>
                <xdr:rowOff>152400</xdr:rowOff>
              </to>
            </anchor>
          </objectPr>
        </oleObject>
      </mc:Choice>
      <mc:Fallback>
        <oleObject progId="Equation.3" shapeId="3110" r:id="rId21"/>
      </mc:Fallback>
    </mc:AlternateContent>
    <mc:AlternateContent xmlns:mc="http://schemas.openxmlformats.org/markup-compatibility/2006">
      <mc:Choice Requires="x14">
        <oleObject progId="Equation.3" shapeId="3111" r:id="rId23">
          <objectPr defaultSize="0" autoPict="0" r:id="rId17">
            <anchor moveWithCells="1">
              <from>
                <xdr:col>39</xdr:col>
                <xdr:colOff>57150</xdr:colOff>
                <xdr:row>2</xdr:row>
                <xdr:rowOff>209550</xdr:rowOff>
              </from>
              <to>
                <xdr:col>39</xdr:col>
                <xdr:colOff>781050</xdr:colOff>
                <xdr:row>8</xdr:row>
                <xdr:rowOff>47625</xdr:rowOff>
              </to>
            </anchor>
          </objectPr>
        </oleObject>
      </mc:Choice>
      <mc:Fallback>
        <oleObject progId="Equation.3" shapeId="3111" r:id="rId23"/>
      </mc:Fallback>
    </mc:AlternateContent>
    <mc:AlternateContent xmlns:mc="http://schemas.openxmlformats.org/markup-compatibility/2006">
      <mc:Choice Requires="x14">
        <oleObject progId="Equation.3" shapeId="3114" r:id="rId24">
          <objectPr defaultSize="0" autoPict="0" r:id="rId17">
            <anchor moveWithCells="1">
              <from>
                <xdr:col>9</xdr:col>
                <xdr:colOff>47625</xdr:colOff>
                <xdr:row>2</xdr:row>
                <xdr:rowOff>123825</xdr:rowOff>
              </from>
              <to>
                <xdr:col>9</xdr:col>
                <xdr:colOff>581025</xdr:colOff>
                <xdr:row>2</xdr:row>
                <xdr:rowOff>381000</xdr:rowOff>
              </to>
            </anchor>
          </objectPr>
        </oleObject>
      </mc:Choice>
      <mc:Fallback>
        <oleObject progId="Equation.3" shapeId="3114" r:id="rId24"/>
      </mc:Fallback>
    </mc:AlternateContent>
    <mc:AlternateContent xmlns:mc="http://schemas.openxmlformats.org/markup-compatibility/2006">
      <mc:Choice Requires="x14">
        <oleObject progId="Equation.3" shapeId="3121" r:id="rId25">
          <objectPr defaultSize="0" autoPict="0" r:id="rId26">
            <anchor moveWithCells="1">
              <from>
                <xdr:col>11</xdr:col>
                <xdr:colOff>28575</xdr:colOff>
                <xdr:row>2</xdr:row>
                <xdr:rowOff>419100</xdr:rowOff>
              </from>
              <to>
                <xdr:col>12</xdr:col>
                <xdr:colOff>0</xdr:colOff>
                <xdr:row>10</xdr:row>
                <xdr:rowOff>133350</xdr:rowOff>
              </to>
            </anchor>
          </objectPr>
        </oleObject>
      </mc:Choice>
      <mc:Fallback>
        <oleObject progId="Equation.3" shapeId="3121" r:id="rId25"/>
      </mc:Fallback>
    </mc:AlternateContent>
    <mc:AlternateContent xmlns:mc="http://schemas.openxmlformats.org/markup-compatibility/2006">
      <mc:Choice Requires="x14">
        <oleObject progId="Equation.3" shapeId="3122" r:id="rId27">
          <objectPr defaultSize="0" autoPict="0" r:id="rId17">
            <anchor moveWithCells="1">
              <from>
                <xdr:col>15</xdr:col>
                <xdr:colOff>38100</xdr:colOff>
                <xdr:row>2</xdr:row>
                <xdr:rowOff>247650</xdr:rowOff>
              </from>
              <to>
                <xdr:col>15</xdr:col>
                <xdr:colOff>514350</xdr:colOff>
                <xdr:row>8</xdr:row>
                <xdr:rowOff>38100</xdr:rowOff>
              </to>
            </anchor>
          </objectPr>
        </oleObject>
      </mc:Choice>
      <mc:Fallback>
        <oleObject progId="Equation.3" shapeId="3122" r:id="rId27"/>
      </mc:Fallback>
    </mc:AlternateContent>
    <mc:AlternateContent xmlns:mc="http://schemas.openxmlformats.org/markup-compatibility/2006">
      <mc:Choice Requires="x14">
        <oleObject progId="Equation.3" shapeId="3123" r:id="rId28">
          <objectPr defaultSize="0" autoPict="0" r:id="rId26">
            <anchor moveWithCells="1">
              <from>
                <xdr:col>17</xdr:col>
                <xdr:colOff>28575</xdr:colOff>
                <xdr:row>2</xdr:row>
                <xdr:rowOff>419100</xdr:rowOff>
              </from>
              <to>
                <xdr:col>18</xdr:col>
                <xdr:colOff>0</xdr:colOff>
                <xdr:row>10</xdr:row>
                <xdr:rowOff>133350</xdr:rowOff>
              </to>
            </anchor>
          </objectPr>
        </oleObject>
      </mc:Choice>
      <mc:Fallback>
        <oleObject progId="Equation.3" shapeId="3123" r:id="rId28"/>
      </mc:Fallback>
    </mc:AlternateContent>
    <mc:AlternateContent xmlns:mc="http://schemas.openxmlformats.org/markup-compatibility/2006">
      <mc:Choice Requires="x14">
        <oleObject progId="Equation.3" shapeId="3124" r:id="rId29">
          <objectPr defaultSize="0" autoPict="0" r:id="rId17">
            <anchor moveWithCells="1">
              <from>
                <xdr:col>21</xdr:col>
                <xdr:colOff>66675</xdr:colOff>
                <xdr:row>2</xdr:row>
                <xdr:rowOff>171450</xdr:rowOff>
              </from>
              <to>
                <xdr:col>21</xdr:col>
                <xdr:colOff>714375</xdr:colOff>
                <xdr:row>8</xdr:row>
                <xdr:rowOff>47625</xdr:rowOff>
              </to>
            </anchor>
          </objectPr>
        </oleObject>
      </mc:Choice>
      <mc:Fallback>
        <oleObject progId="Equation.3" shapeId="3124" r:id="rId29"/>
      </mc:Fallback>
    </mc:AlternateContent>
    <mc:AlternateContent xmlns:mc="http://schemas.openxmlformats.org/markup-compatibility/2006">
      <mc:Choice Requires="x14">
        <oleObject progId="Equation.3" shapeId="3127" r:id="rId30">
          <objectPr defaultSize="0" autoPict="0" r:id="rId17">
            <anchor moveWithCells="1">
              <from>
                <xdr:col>45</xdr:col>
                <xdr:colOff>104775</xdr:colOff>
                <xdr:row>2</xdr:row>
                <xdr:rowOff>209550</xdr:rowOff>
              </from>
              <to>
                <xdr:col>45</xdr:col>
                <xdr:colOff>762000</xdr:colOff>
                <xdr:row>8</xdr:row>
                <xdr:rowOff>133350</xdr:rowOff>
              </to>
            </anchor>
          </objectPr>
        </oleObject>
      </mc:Choice>
      <mc:Fallback>
        <oleObject progId="Equation.3" shapeId="3127" r:id="rId3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3"/>
  <sheetViews>
    <sheetView workbookViewId="0">
      <pane xSplit="1" ySplit="1" topLeftCell="D69" activePane="bottomRight" state="frozen"/>
      <selection pane="topRight" activeCell="B1" sqref="B1"/>
      <selection pane="bottomLeft" activeCell="A2" sqref="A2"/>
      <selection pane="bottomRight" activeCell="F81" sqref="F81"/>
    </sheetView>
  </sheetViews>
  <sheetFormatPr baseColWidth="10" defaultColWidth="11.42578125" defaultRowHeight="15" x14ac:dyDescent="0.25"/>
  <cols>
    <col min="2" max="2" width="0" hidden="1" customWidth="1"/>
    <col min="3" max="3" width="0" style="27" hidden="1" customWidth="1"/>
    <col min="4" max="6" width="11.42578125" style="27"/>
  </cols>
  <sheetData>
    <row r="1" spans="1:8" ht="48" x14ac:dyDescent="0.25">
      <c r="A1" t="s">
        <v>52</v>
      </c>
      <c r="B1" s="53" t="s">
        <v>111</v>
      </c>
      <c r="C1" s="72" t="s">
        <v>133</v>
      </c>
      <c r="D1" s="72" t="s">
        <v>132</v>
      </c>
      <c r="E1" s="72" t="s">
        <v>163</v>
      </c>
      <c r="F1" s="72" t="s">
        <v>164</v>
      </c>
    </row>
    <row r="2" spans="1:8" s="126" customFormat="1" x14ac:dyDescent="0.25">
      <c r="A2" s="1"/>
      <c r="B2" s="8"/>
      <c r="C2" s="67"/>
      <c r="D2" s="64"/>
      <c r="E2" s="64"/>
      <c r="F2" s="64"/>
      <c r="G2" s="27"/>
      <c r="H2" s="27"/>
    </row>
    <row r="3" spans="1:8" s="126" customFormat="1" x14ac:dyDescent="0.25">
      <c r="A3" s="1"/>
      <c r="B3" s="8"/>
      <c r="C3" s="67"/>
      <c r="D3" s="64"/>
      <c r="E3" s="64"/>
      <c r="F3" s="64"/>
      <c r="G3" s="27"/>
      <c r="H3" s="27"/>
    </row>
    <row r="4" spans="1:8" s="126" customFormat="1" x14ac:dyDescent="0.25">
      <c r="A4" s="1"/>
      <c r="B4" s="8"/>
      <c r="C4" s="67"/>
      <c r="D4" s="64"/>
      <c r="E4" s="64"/>
      <c r="F4" s="64"/>
      <c r="G4" s="27"/>
      <c r="H4" s="27"/>
    </row>
    <row r="5" spans="1:8" x14ac:dyDescent="0.25">
      <c r="A5" s="1" t="s">
        <v>0</v>
      </c>
      <c r="B5" s="8"/>
      <c r="C5" s="67">
        <v>232.4</v>
      </c>
      <c r="D5" s="64">
        <v>1012.5799999999999</v>
      </c>
      <c r="E5" s="64">
        <v>10927.224</v>
      </c>
      <c r="F5" s="64">
        <v>3295.3</v>
      </c>
      <c r="G5" s="27"/>
      <c r="H5" s="27"/>
    </row>
    <row r="6" spans="1:8" x14ac:dyDescent="0.25">
      <c r="A6" s="1" t="s">
        <v>6</v>
      </c>
      <c r="B6" s="8"/>
      <c r="C6" s="67">
        <v>237.5</v>
      </c>
      <c r="D6" s="64">
        <v>850.62799999999993</v>
      </c>
      <c r="E6" s="64">
        <v>11075.455</v>
      </c>
      <c r="F6" s="64">
        <v>3219.9</v>
      </c>
      <c r="G6" s="27"/>
      <c r="H6" s="27"/>
    </row>
    <row r="7" spans="1:8" x14ac:dyDescent="0.25">
      <c r="A7" s="1" t="s">
        <v>1</v>
      </c>
      <c r="B7" s="8"/>
      <c r="C7" s="67">
        <v>242.8</v>
      </c>
      <c r="D7" s="64">
        <v>7082.9909999999991</v>
      </c>
      <c r="E7" s="64">
        <v>8577.9439999999995</v>
      </c>
      <c r="F7" s="64">
        <v>3164.8</v>
      </c>
      <c r="G7" s="27"/>
      <c r="H7" s="27"/>
    </row>
    <row r="8" spans="1:8" x14ac:dyDescent="0.25">
      <c r="A8" s="1" t="s">
        <v>2</v>
      </c>
      <c r="B8" s="8"/>
      <c r="C8" s="67">
        <v>193.9</v>
      </c>
      <c r="D8" s="64">
        <v>7322.6749999999993</v>
      </c>
      <c r="E8" s="64">
        <v>8609.5300000000007</v>
      </c>
      <c r="F8" s="64">
        <v>2864.7</v>
      </c>
      <c r="G8" s="27"/>
      <c r="H8" s="27"/>
    </row>
    <row r="9" spans="1:8" x14ac:dyDescent="0.25">
      <c r="A9" s="1" t="s">
        <v>3</v>
      </c>
      <c r="B9" s="8"/>
      <c r="C9" s="67">
        <v>270</v>
      </c>
      <c r="D9" s="64">
        <v>7412.1459999999997</v>
      </c>
      <c r="E9" s="64">
        <v>8734.1170000000002</v>
      </c>
      <c r="F9" s="64">
        <v>2738.2</v>
      </c>
      <c r="G9" s="27"/>
      <c r="H9" s="27"/>
    </row>
    <row r="10" spans="1:8" x14ac:dyDescent="0.25">
      <c r="A10" s="1" t="s">
        <v>4</v>
      </c>
      <c r="B10" s="8"/>
      <c r="C10" s="67">
        <v>169.39999999999998</v>
      </c>
      <c r="D10" s="64">
        <v>7446.3809999999994</v>
      </c>
      <c r="E10" s="64">
        <v>8819.16</v>
      </c>
      <c r="F10" s="64">
        <v>2970.6</v>
      </c>
      <c r="G10" s="27"/>
      <c r="H10" s="27"/>
    </row>
    <row r="11" spans="1:8" x14ac:dyDescent="0.25">
      <c r="A11" s="1" t="s">
        <v>5</v>
      </c>
      <c r="B11" s="8"/>
      <c r="C11" s="67">
        <v>202.7</v>
      </c>
      <c r="D11" s="64">
        <v>1546.847</v>
      </c>
      <c r="E11" s="64">
        <v>9158.3259999999991</v>
      </c>
      <c r="F11" s="64">
        <v>2923.3</v>
      </c>
      <c r="G11" s="27"/>
      <c r="H11" s="27"/>
    </row>
    <row r="12" spans="1:8" x14ac:dyDescent="0.25">
      <c r="A12" s="1" t="s">
        <v>7</v>
      </c>
      <c r="B12" s="8"/>
      <c r="C12" s="67">
        <v>222.3</v>
      </c>
      <c r="D12" s="64">
        <v>1376.6120000000001</v>
      </c>
      <c r="E12" s="64">
        <v>9391.2990000000009</v>
      </c>
      <c r="F12" s="64">
        <v>2925.7</v>
      </c>
      <c r="G12" s="27"/>
      <c r="H12" s="27"/>
    </row>
    <row r="13" spans="1:8" x14ac:dyDescent="0.25">
      <c r="A13" s="1" t="s">
        <v>8</v>
      </c>
      <c r="B13" s="8"/>
      <c r="C13" s="67">
        <v>308.89999999999998</v>
      </c>
      <c r="D13" s="64">
        <v>1361.7160000000001</v>
      </c>
      <c r="E13" s="64">
        <v>9419.8549999999996</v>
      </c>
      <c r="F13" s="64">
        <v>2773.5</v>
      </c>
      <c r="G13" s="27"/>
      <c r="H13" s="27"/>
    </row>
    <row r="14" spans="1:8" x14ac:dyDescent="0.25">
      <c r="A14" s="1" t="s">
        <v>9</v>
      </c>
      <c r="B14" s="8"/>
      <c r="C14" s="67">
        <v>338.5</v>
      </c>
      <c r="D14" s="64">
        <v>1421.915</v>
      </c>
      <c r="E14" s="64">
        <v>9533.6679999999997</v>
      </c>
      <c r="F14" s="64">
        <v>2870.7</v>
      </c>
      <c r="G14" s="27"/>
      <c r="H14" s="27"/>
    </row>
    <row r="15" spans="1:8" x14ac:dyDescent="0.25">
      <c r="A15" s="1" t="s">
        <v>10</v>
      </c>
      <c r="B15" s="8"/>
      <c r="C15" s="67">
        <v>341.3</v>
      </c>
      <c r="D15" s="64">
        <v>1142.931</v>
      </c>
      <c r="E15" s="64">
        <v>9506.3169999999991</v>
      </c>
      <c r="F15" s="64">
        <v>2850.9</v>
      </c>
      <c r="G15" s="27"/>
      <c r="H15" s="27"/>
    </row>
    <row r="16" spans="1:8" x14ac:dyDescent="0.25">
      <c r="A16" s="1" t="s">
        <v>11</v>
      </c>
      <c r="B16" s="8"/>
      <c r="C16" s="67">
        <v>348.59999999999997</v>
      </c>
      <c r="D16" s="64">
        <v>1176.9560000000001</v>
      </c>
      <c r="E16" s="64">
        <v>9657.0329999999994</v>
      </c>
      <c r="F16" s="64">
        <v>2771.1</v>
      </c>
      <c r="G16" s="27"/>
      <c r="H16" s="27"/>
    </row>
    <row r="17" spans="1:8" x14ac:dyDescent="0.25">
      <c r="A17" s="1" t="s">
        <v>12</v>
      </c>
      <c r="B17" s="8"/>
      <c r="C17" s="67">
        <v>353.2</v>
      </c>
      <c r="D17" s="64">
        <v>1228.077</v>
      </c>
      <c r="E17" s="64">
        <v>9571.6550000000007</v>
      </c>
      <c r="F17" s="64">
        <v>2825.9</v>
      </c>
      <c r="G17" s="27"/>
      <c r="H17" s="27"/>
    </row>
    <row r="18" spans="1:8" x14ac:dyDescent="0.25">
      <c r="A18" s="1" t="s">
        <v>13</v>
      </c>
      <c r="B18" s="8"/>
      <c r="C18" s="67">
        <v>439.2</v>
      </c>
      <c r="D18" s="64">
        <v>1353.8219999999999</v>
      </c>
      <c r="E18" s="64">
        <v>9731.7209999999995</v>
      </c>
      <c r="F18" s="64">
        <v>2900.6</v>
      </c>
      <c r="G18" s="27"/>
      <c r="H18" s="27"/>
    </row>
    <row r="19" spans="1:8" x14ac:dyDescent="0.25">
      <c r="A19" s="1" t="s">
        <v>14</v>
      </c>
      <c r="B19" s="8"/>
      <c r="C19" s="67">
        <v>301.10000000000002</v>
      </c>
      <c r="D19" s="64">
        <v>1328.643</v>
      </c>
      <c r="E19" s="64">
        <v>9866.6</v>
      </c>
      <c r="F19" s="64">
        <v>2976.8</v>
      </c>
      <c r="G19" s="27"/>
      <c r="H19" s="27"/>
    </row>
    <row r="20" spans="1:8" x14ac:dyDescent="0.25">
      <c r="A20" s="1" t="s">
        <v>15</v>
      </c>
      <c r="B20" s="8"/>
      <c r="C20" s="67">
        <v>421.9</v>
      </c>
      <c r="D20" s="64">
        <v>1491.7089999999998</v>
      </c>
      <c r="E20" s="64">
        <v>10017.779</v>
      </c>
      <c r="F20" s="64">
        <v>3016.2</v>
      </c>
      <c r="G20" s="27"/>
      <c r="H20" s="27"/>
    </row>
    <row r="21" spans="1:8" x14ac:dyDescent="0.25">
      <c r="A21" s="1" t="s">
        <v>16</v>
      </c>
      <c r="B21" s="8"/>
      <c r="C21" s="67">
        <v>508.7</v>
      </c>
      <c r="D21" s="64">
        <v>1647.386</v>
      </c>
      <c r="E21" s="64">
        <v>9885.5920000000006</v>
      </c>
      <c r="F21" s="64">
        <v>3159.7</v>
      </c>
      <c r="G21" s="27"/>
      <c r="H21" s="27"/>
    </row>
    <row r="22" spans="1:8" x14ac:dyDescent="0.25">
      <c r="A22" s="1" t="s">
        <v>17</v>
      </c>
      <c r="B22" s="8"/>
      <c r="C22" s="67">
        <v>681.4</v>
      </c>
      <c r="D22" s="64">
        <v>1883.0319999999999</v>
      </c>
      <c r="E22" s="64">
        <v>9731.0959999999995</v>
      </c>
      <c r="F22" s="64">
        <v>3270.9</v>
      </c>
      <c r="G22" s="27"/>
      <c r="H22" s="27"/>
    </row>
    <row r="23" spans="1:8" x14ac:dyDescent="0.25">
      <c r="A23" s="1" t="s">
        <v>18</v>
      </c>
      <c r="B23" s="8"/>
      <c r="C23" s="67">
        <v>916.30000000000007</v>
      </c>
      <c r="D23" s="64">
        <v>2535.8180000000002</v>
      </c>
      <c r="E23" s="64">
        <v>9679.3770000000004</v>
      </c>
      <c r="F23" s="64">
        <v>3491.2</v>
      </c>
      <c r="G23" s="27"/>
      <c r="H23" s="27"/>
    </row>
    <row r="24" spans="1:8" x14ac:dyDescent="0.25">
      <c r="A24" s="1" t="s">
        <v>19</v>
      </c>
      <c r="B24" s="8"/>
      <c r="C24" s="67">
        <v>850.5</v>
      </c>
      <c r="D24" s="64">
        <v>2857.68201</v>
      </c>
      <c r="E24" s="64">
        <v>9981.2579999999998</v>
      </c>
      <c r="F24" s="64">
        <v>3489.1</v>
      </c>
      <c r="G24" s="27"/>
      <c r="H24" s="27"/>
    </row>
    <row r="25" spans="1:8" x14ac:dyDescent="0.25">
      <c r="A25" s="1" t="s">
        <v>20</v>
      </c>
      <c r="B25" s="8"/>
      <c r="C25" s="67">
        <v>483.8</v>
      </c>
      <c r="D25" s="64">
        <v>2906.151077</v>
      </c>
      <c r="E25" s="64">
        <v>9530.8989999999994</v>
      </c>
      <c r="F25" s="64">
        <v>3810.9</v>
      </c>
      <c r="G25" s="27"/>
      <c r="H25" s="27"/>
    </row>
    <row r="26" spans="1:8" x14ac:dyDescent="0.25">
      <c r="A26" s="1" t="s">
        <v>21</v>
      </c>
      <c r="B26" s="8"/>
      <c r="C26" s="67">
        <v>395.9</v>
      </c>
      <c r="D26" s="64">
        <v>2933.4960770000002</v>
      </c>
      <c r="E26" s="64">
        <v>9280.6090000000004</v>
      </c>
      <c r="F26" s="64">
        <v>3879.1</v>
      </c>
      <c r="G26" s="27"/>
      <c r="H26" s="27"/>
    </row>
    <row r="27" spans="1:8" x14ac:dyDescent="0.25">
      <c r="A27" s="1" t="s">
        <v>22</v>
      </c>
      <c r="B27" s="8"/>
      <c r="C27" s="67">
        <v>369.6</v>
      </c>
      <c r="D27" s="64">
        <v>2868.238077</v>
      </c>
      <c r="E27" s="64">
        <v>9171.4709999999995</v>
      </c>
      <c r="F27" s="64">
        <v>3926.1</v>
      </c>
      <c r="G27" s="27"/>
      <c r="H27" s="27"/>
    </row>
    <row r="28" spans="1:8" x14ac:dyDescent="0.25">
      <c r="A28" s="1" t="s">
        <v>23</v>
      </c>
      <c r="B28" s="8"/>
      <c r="C28" s="67">
        <v>563.4</v>
      </c>
      <c r="D28" s="64">
        <v>3084.6600000000003</v>
      </c>
      <c r="E28" s="64">
        <v>9664.4120000000003</v>
      </c>
      <c r="F28" s="64">
        <v>3686.3</v>
      </c>
      <c r="G28" s="27"/>
      <c r="H28" s="27"/>
    </row>
    <row r="29" spans="1:8" x14ac:dyDescent="0.25">
      <c r="A29" s="1" t="s">
        <v>24</v>
      </c>
      <c r="B29" s="8"/>
      <c r="C29" s="67">
        <v>585.625</v>
      </c>
      <c r="D29" s="64">
        <v>3147.2349330000002</v>
      </c>
      <c r="E29" s="64">
        <v>10023.896000000001</v>
      </c>
      <c r="F29" s="64">
        <v>3828.7256689500023</v>
      </c>
      <c r="G29" s="27"/>
      <c r="H29" s="27"/>
    </row>
    <row r="30" spans="1:8" x14ac:dyDescent="0.25">
      <c r="A30" s="1" t="s">
        <v>25</v>
      </c>
      <c r="B30" s="8"/>
      <c r="C30" s="67">
        <v>1100.471</v>
      </c>
      <c r="D30" s="64">
        <v>4049.8549330000001</v>
      </c>
      <c r="E30" s="64">
        <v>9171.0409999999993</v>
      </c>
      <c r="F30" s="64">
        <v>3629.4986689500015</v>
      </c>
      <c r="G30" s="27"/>
      <c r="H30" s="27"/>
    </row>
    <row r="31" spans="1:8" x14ac:dyDescent="0.25">
      <c r="A31" s="1" t="s">
        <v>26</v>
      </c>
      <c r="B31" s="8"/>
      <c r="C31" s="67">
        <v>600.05099999999993</v>
      </c>
      <c r="D31" s="64">
        <v>4159.4719329999998</v>
      </c>
      <c r="E31" s="64">
        <v>9029.8580000000002</v>
      </c>
      <c r="F31" s="64">
        <v>3284.628668950003</v>
      </c>
      <c r="G31" s="27"/>
      <c r="H31" s="27"/>
    </row>
    <row r="32" spans="1:8" x14ac:dyDescent="0.25">
      <c r="A32" s="1" t="s">
        <v>27</v>
      </c>
      <c r="B32" s="8"/>
      <c r="C32" s="67">
        <v>637.21100000000001</v>
      </c>
      <c r="D32" s="64">
        <v>4565.451</v>
      </c>
      <c r="E32" s="64">
        <v>9008.3780000000006</v>
      </c>
      <c r="F32" s="64">
        <v>3277.6356689500026</v>
      </c>
      <c r="G32" s="27"/>
      <c r="H32" s="27"/>
    </row>
    <row r="33" spans="1:8" x14ac:dyDescent="0.25">
      <c r="A33" s="1" t="s">
        <v>28</v>
      </c>
      <c r="B33" s="8"/>
      <c r="C33" s="67">
        <v>302.61500000000001</v>
      </c>
      <c r="D33" s="64">
        <v>4481.1019999999999</v>
      </c>
      <c r="E33" s="64">
        <v>9175.4030000000002</v>
      </c>
      <c r="F33" s="64">
        <v>3213.7889815600024</v>
      </c>
      <c r="G33" s="27"/>
      <c r="H33" s="27"/>
    </row>
    <row r="34" spans="1:8" x14ac:dyDescent="0.25">
      <c r="A34" s="1" t="s">
        <v>29</v>
      </c>
      <c r="B34" s="8"/>
      <c r="C34" s="67">
        <v>442.75299999999999</v>
      </c>
      <c r="D34" s="64">
        <v>3764.5430000000006</v>
      </c>
      <c r="E34" s="64">
        <v>9201.39</v>
      </c>
      <c r="F34" s="64">
        <v>2880.0029815600028</v>
      </c>
      <c r="G34" s="27">
        <f t="shared" ref="G34:G46" si="0">SUM(E34:F34)</f>
        <v>12081.392981560002</v>
      </c>
      <c r="H34" s="356">
        <f>G34/'Indicador Blanchard'!B39</f>
        <v>0.2505608188669291</v>
      </c>
    </row>
    <row r="35" spans="1:8" x14ac:dyDescent="0.25">
      <c r="A35" s="1" t="s">
        <v>30</v>
      </c>
      <c r="B35" s="8"/>
      <c r="C35" s="67">
        <v>288.82600000000002</v>
      </c>
      <c r="D35" s="64">
        <v>3199.3810000000003</v>
      </c>
      <c r="E35" s="64">
        <v>9179.1080000000002</v>
      </c>
      <c r="F35" s="64">
        <v>3066.2329815600033</v>
      </c>
      <c r="G35" s="27">
        <f t="shared" si="0"/>
        <v>12245.340981560003</v>
      </c>
      <c r="H35" s="356">
        <f>G35/'Indicador Blanchard'!B40</f>
        <v>0.24889556520210465</v>
      </c>
    </row>
    <row r="36" spans="1:8" x14ac:dyDescent="0.25">
      <c r="A36" s="1" t="s">
        <v>31</v>
      </c>
      <c r="B36" s="8"/>
      <c r="C36" s="67">
        <v>486.745</v>
      </c>
      <c r="D36" s="64">
        <v>2637.123</v>
      </c>
      <c r="E36" s="64">
        <v>9374.1640000000007</v>
      </c>
      <c r="F36" s="64">
        <v>3240.081981560003</v>
      </c>
      <c r="G36" s="27">
        <f t="shared" si="0"/>
        <v>12614.245981560003</v>
      </c>
      <c r="H36" s="356">
        <f>G36/'Indicador Blanchard'!B41</f>
        <v>0.24730044560773556</v>
      </c>
    </row>
    <row r="37" spans="1:8" x14ac:dyDescent="0.25">
      <c r="A37" s="1" t="s">
        <v>32</v>
      </c>
      <c r="B37" s="8"/>
      <c r="C37" s="67">
        <v>571.59500000000003</v>
      </c>
      <c r="D37" s="64">
        <v>2678.0320000000002</v>
      </c>
      <c r="E37" s="64">
        <v>9107.384</v>
      </c>
      <c r="F37" s="64">
        <v>3088.6409815600036</v>
      </c>
      <c r="G37" s="27">
        <f t="shared" si="0"/>
        <v>12196.024981560004</v>
      </c>
      <c r="H37" s="356">
        <f>G37/'Indicador Blanchard'!B42</f>
        <v>0.22778618969601316</v>
      </c>
    </row>
    <row r="38" spans="1:8" x14ac:dyDescent="0.25">
      <c r="A38" s="1" t="s">
        <v>33</v>
      </c>
      <c r="B38" s="8"/>
      <c r="C38" s="67">
        <v>1259.5129999999999</v>
      </c>
      <c r="D38" s="64">
        <v>3066.6190000000001</v>
      </c>
      <c r="E38" s="64">
        <v>8847.8250000000007</v>
      </c>
      <c r="F38" s="64">
        <v>3038.307981560004</v>
      </c>
      <c r="G38" s="27">
        <f t="shared" si="0"/>
        <v>11886.132981560004</v>
      </c>
      <c r="H38" s="356">
        <f>G38/'Indicador Blanchard'!B43</f>
        <v>0.20908829011476071</v>
      </c>
    </row>
    <row r="39" spans="1:8" x14ac:dyDescent="0.25">
      <c r="A39" s="1" t="s">
        <v>34</v>
      </c>
      <c r="B39" s="8"/>
      <c r="C39" s="67">
        <v>186.60300000000001</v>
      </c>
      <c r="D39" s="64">
        <v>2829.5839999999998</v>
      </c>
      <c r="E39" s="64">
        <v>8786.4439999999995</v>
      </c>
      <c r="F39" s="64">
        <v>2967.3319815600039</v>
      </c>
      <c r="G39" s="27">
        <f t="shared" si="0"/>
        <v>11753.775981560004</v>
      </c>
      <c r="H39" s="356">
        <f>G39/'Indicador Blanchard'!B44</f>
        <v>0.19544718410695777</v>
      </c>
    </row>
    <row r="40" spans="1:8" x14ac:dyDescent="0.25">
      <c r="A40" s="1" t="s">
        <v>35</v>
      </c>
      <c r="B40" s="8"/>
      <c r="C40" s="67">
        <v>156.53300000000002</v>
      </c>
      <c r="D40" s="64">
        <v>2139.5640000000003</v>
      </c>
      <c r="E40" s="64">
        <v>8788.4249999999993</v>
      </c>
      <c r="F40" s="64">
        <v>3645.4169815600039</v>
      </c>
      <c r="G40" s="27">
        <f t="shared" si="0"/>
        <v>12433.841981560003</v>
      </c>
      <c r="H40" s="356">
        <f>G40/'Indicador Blanchard'!B45</f>
        <v>0.20131657241566847</v>
      </c>
    </row>
    <row r="41" spans="1:8" x14ac:dyDescent="0.25">
      <c r="A41" s="1" t="s">
        <v>36</v>
      </c>
      <c r="B41" s="8"/>
      <c r="C41" s="67">
        <v>156.345</v>
      </c>
      <c r="D41" s="64">
        <v>1728.864</v>
      </c>
      <c r="E41" s="64">
        <v>8685.3109999999997</v>
      </c>
      <c r="F41" s="64">
        <v>4133.7089815600048</v>
      </c>
      <c r="G41" s="27">
        <f t="shared" si="0"/>
        <v>12819.019981560004</v>
      </c>
      <c r="H41" s="356">
        <f>G41/'Indicador Blanchard'!B46</f>
        <v>0.20583291222769401</v>
      </c>
    </row>
    <row r="42" spans="1:8" x14ac:dyDescent="0.25">
      <c r="A42" s="1" t="s">
        <v>37</v>
      </c>
      <c r="B42" s="8"/>
      <c r="C42" s="67">
        <v>163.40500000000003</v>
      </c>
      <c r="D42" s="64">
        <v>4651.0889999999999</v>
      </c>
      <c r="E42" s="64">
        <v>5801.8710000000001</v>
      </c>
      <c r="F42" s="64">
        <v>3019.2109815600047</v>
      </c>
      <c r="G42" s="27">
        <f t="shared" si="0"/>
        <v>8821.0819815600044</v>
      </c>
      <c r="H42" s="356">
        <f>G42/'Indicador Blanchard'!B47</f>
        <v>0.14209511691326471</v>
      </c>
    </row>
    <row r="43" spans="1:8" x14ac:dyDescent="0.25">
      <c r="A43" s="1" t="s">
        <v>38</v>
      </c>
      <c r="B43" s="8"/>
      <c r="C43" s="67">
        <v>144.31299999999993</v>
      </c>
      <c r="D43" s="64">
        <v>4612.8470000000007</v>
      </c>
      <c r="E43" s="64">
        <v>6305.7929999999997</v>
      </c>
      <c r="F43" s="64">
        <v>2968.7509815600047</v>
      </c>
      <c r="G43" s="27">
        <f t="shared" si="0"/>
        <v>9274.5439815600039</v>
      </c>
      <c r="H43" s="356">
        <f>G43/'Indicador Blanchard'!B48</f>
        <v>0.15045032249553805</v>
      </c>
    </row>
    <row r="44" spans="1:8" x14ac:dyDescent="0.25">
      <c r="A44" s="1" t="s">
        <v>39</v>
      </c>
      <c r="B44" s="8"/>
      <c r="C44" s="67">
        <v>348.48099999999999</v>
      </c>
      <c r="D44" s="64">
        <v>4789.7669999999998</v>
      </c>
      <c r="E44" s="64">
        <v>6213.7920000000004</v>
      </c>
      <c r="F44" s="64">
        <v>2842.2429815600049</v>
      </c>
      <c r="G44" s="27">
        <f t="shared" si="0"/>
        <v>9056.0349815600057</v>
      </c>
      <c r="H44" s="356">
        <f>G44/'Indicador Blanchard'!B49</f>
        <v>0.14485093513681443</v>
      </c>
    </row>
    <row r="45" spans="1:8" x14ac:dyDescent="0.25">
      <c r="A45" s="1" t="s">
        <v>40</v>
      </c>
      <c r="B45" s="8"/>
      <c r="C45" s="67">
        <v>101.39099999999999</v>
      </c>
      <c r="D45" s="64">
        <v>4749.5909999999994</v>
      </c>
      <c r="E45" s="64">
        <v>6767.7209999999995</v>
      </c>
      <c r="F45" s="64">
        <v>2838.2499815600049</v>
      </c>
      <c r="G45" s="27">
        <f t="shared" si="0"/>
        <v>9605.9709815600036</v>
      </c>
      <c r="H45" s="356">
        <f>G45/'Indicador Blanchard'!B50</f>
        <v>0.14948528620659809</v>
      </c>
    </row>
    <row r="46" spans="1:8" x14ac:dyDescent="0.25">
      <c r="A46" s="73" t="s">
        <v>41</v>
      </c>
      <c r="B46" s="10"/>
      <c r="C46" s="74">
        <v>190.48750000000001</v>
      </c>
      <c r="D46" s="64">
        <v>765.27449999999999</v>
      </c>
      <c r="E46" s="64">
        <v>6981.4139999999998</v>
      </c>
      <c r="F46" s="64">
        <v>3467.0244815600054</v>
      </c>
      <c r="G46" s="27">
        <f t="shared" si="0"/>
        <v>10448.438481560006</v>
      </c>
      <c r="H46" s="356">
        <f>G46/'Indicador Blanchard'!B51</f>
        <v>0.15893037654864112</v>
      </c>
    </row>
    <row r="47" spans="1:8" x14ac:dyDescent="0.25">
      <c r="A47" s="73" t="s">
        <v>42</v>
      </c>
      <c r="B47" s="10"/>
      <c r="C47" s="74">
        <v>110.27785</v>
      </c>
      <c r="D47" s="64">
        <v>722.07535000000007</v>
      </c>
      <c r="E47" s="64">
        <v>7832.3490000000002</v>
      </c>
      <c r="F47" s="64">
        <v>4833.2151715600048</v>
      </c>
      <c r="G47" s="27">
        <f>SUM(E47:F47)</f>
        <v>12665.564171560005</v>
      </c>
      <c r="H47" s="356">
        <f>G47/'Indicador Blanchard'!B52</f>
        <v>0.18793975493450843</v>
      </c>
    </row>
    <row r="48" spans="1:8" x14ac:dyDescent="0.25">
      <c r="A48" s="73" t="s">
        <v>43</v>
      </c>
      <c r="B48" s="10"/>
      <c r="C48" s="74">
        <v>476.26614700000005</v>
      </c>
      <c r="D48" s="64">
        <v>961.79949699999997</v>
      </c>
      <c r="E48" s="64">
        <v>7811.759</v>
      </c>
      <c r="F48" s="64">
        <v>4664.9857465600053</v>
      </c>
      <c r="G48" s="27">
        <f>SUM(E48:F48)</f>
        <v>12476.744746560005</v>
      </c>
      <c r="H48" s="356">
        <f>G48/'Indicador Blanchard'!B53</f>
        <v>0.17937860563024569</v>
      </c>
    </row>
    <row r="49" spans="1:17" x14ac:dyDescent="0.25">
      <c r="A49" s="73" t="s">
        <v>44</v>
      </c>
      <c r="B49" s="10"/>
      <c r="C49" s="74">
        <v>241.902173</v>
      </c>
      <c r="D49" s="64">
        <v>1102.3106700000001</v>
      </c>
      <c r="E49" s="64">
        <v>8035.0379999999996</v>
      </c>
      <c r="F49" s="64">
        <v>4552.6920805600057</v>
      </c>
      <c r="G49" s="27">
        <f>SUM(E49:F49)</f>
        <v>12587.730080560006</v>
      </c>
      <c r="H49" s="356">
        <f>G49/'Indicador Blanchard'!B54</f>
        <v>0.17552266984350742</v>
      </c>
    </row>
    <row r="50" spans="1:17" x14ac:dyDescent="0.25">
      <c r="A50" s="73" t="s">
        <v>45</v>
      </c>
      <c r="B50" s="10"/>
      <c r="C50" s="74">
        <v>581.54322098</v>
      </c>
      <c r="D50" s="64">
        <v>1493.3663909799998</v>
      </c>
      <c r="E50" s="64">
        <v>7918.5709999999999</v>
      </c>
      <c r="F50" s="64">
        <v>4371.2698595800057</v>
      </c>
      <c r="G50" s="27">
        <f t="shared" ref="G50:G80" si="1">SUM(E50:F50)</f>
        <v>12289.840859580007</v>
      </c>
      <c r="H50" s="356">
        <f>G50/'Indicador Blanchard'!B55</f>
        <v>0.16524597248171197</v>
      </c>
    </row>
    <row r="51" spans="1:17" x14ac:dyDescent="0.25">
      <c r="A51" s="73" t="s">
        <v>46</v>
      </c>
      <c r="B51" s="10"/>
      <c r="C51" s="74">
        <v>291.90634374999996</v>
      </c>
      <c r="D51" s="64">
        <v>1616.47288473</v>
      </c>
      <c r="E51" s="64">
        <v>7855.4219999999996</v>
      </c>
      <c r="F51" s="64">
        <v>4482.466631830006</v>
      </c>
      <c r="G51" s="27">
        <f t="shared" si="1"/>
        <v>12337.888631830006</v>
      </c>
      <c r="H51" s="356">
        <f>G51/'Indicador Blanchard'!B56</f>
        <v>0.16041539135513427</v>
      </c>
    </row>
    <row r="52" spans="1:17" s="353" customFormat="1" x14ac:dyDescent="0.25">
      <c r="A52" s="348" t="s">
        <v>47</v>
      </c>
      <c r="B52" s="349"/>
      <c r="C52" s="350">
        <v>316.66554099999996</v>
      </c>
      <c r="D52" s="351">
        <v>1654.1962787299999</v>
      </c>
      <c r="E52" s="351">
        <v>9247.1409999999996</v>
      </c>
      <c r="F52" s="351">
        <v>4506.4472978300064</v>
      </c>
      <c r="G52" s="352">
        <f t="shared" si="1"/>
        <v>13753.588297830007</v>
      </c>
      <c r="H52" s="356">
        <f>G52/'Indicador Blanchard'!B57</f>
        <v>0.17348848455366395</v>
      </c>
    </row>
    <row r="53" spans="1:17" x14ac:dyDescent="0.25">
      <c r="A53" s="73" t="s">
        <v>48</v>
      </c>
      <c r="B53" s="10"/>
      <c r="C53" s="27">
        <v>243.44546100000002</v>
      </c>
      <c r="D53" s="64">
        <f>+SUM(C50:C53)</f>
        <v>1433.5605667299999</v>
      </c>
      <c r="E53" s="109">
        <v>9387.8870000000006</v>
      </c>
      <c r="F53" s="105">
        <v>4822.5425514900062</v>
      </c>
      <c r="G53" s="27">
        <f t="shared" si="1"/>
        <v>14210.429551490008</v>
      </c>
      <c r="H53" s="356">
        <f>G53/'Indicador Blanchard'!B58</f>
        <v>0.17334729151385392</v>
      </c>
    </row>
    <row r="54" spans="1:17" x14ac:dyDescent="0.25">
      <c r="A54" s="73" t="s">
        <v>49</v>
      </c>
      <c r="B54" s="10"/>
      <c r="C54" s="27">
        <v>622.18311319999998</v>
      </c>
      <c r="D54" s="64">
        <f>+SUM(C51:C54)</f>
        <v>1474.20045895</v>
      </c>
      <c r="E54" s="109">
        <v>9174.3960000000006</v>
      </c>
      <c r="F54" s="105">
        <v>6115.6269731200055</v>
      </c>
      <c r="G54" s="27">
        <f t="shared" si="1"/>
        <v>15290.022973120005</v>
      </c>
      <c r="H54" s="356">
        <f>G54/'Indicador Blanchard'!B59</f>
        <v>0.18168369428628578</v>
      </c>
    </row>
    <row r="55" spans="1:17" x14ac:dyDescent="0.25">
      <c r="A55" s="73" t="s">
        <v>50</v>
      </c>
      <c r="B55" s="132"/>
      <c r="C55" s="133">
        <v>228.18026999999998</v>
      </c>
      <c r="D55" s="64">
        <f>+SUM(C52:C55)</f>
        <v>1410.4743851999999</v>
      </c>
      <c r="E55" s="109">
        <v>9792.1560000000009</v>
      </c>
      <c r="F55" s="105">
        <v>6531.0316961200051</v>
      </c>
      <c r="G55" s="27">
        <f t="shared" si="1"/>
        <v>16323.187696120007</v>
      </c>
      <c r="H55" s="356">
        <f>G55/'Indicador Blanchard'!B60</f>
        <v>0.18915381238143772</v>
      </c>
    </row>
    <row r="56" spans="1:17" s="353" customFormat="1" x14ac:dyDescent="0.25">
      <c r="A56" s="348" t="s">
        <v>51</v>
      </c>
      <c r="B56" s="349"/>
      <c r="C56" s="352">
        <v>463.46559100000002</v>
      </c>
      <c r="D56" s="351">
        <f>+SUM(C53:C56)</f>
        <v>1557.2744352</v>
      </c>
      <c r="E56" s="354">
        <v>9948.634</v>
      </c>
      <c r="F56" s="355">
        <v>7780.502439120005</v>
      </c>
      <c r="G56" s="352">
        <f t="shared" si="1"/>
        <v>17729.136439120004</v>
      </c>
      <c r="H56" s="356">
        <f>G56/'Indicador Blanchard'!B61</f>
        <v>0.20164035697609078</v>
      </c>
    </row>
    <row r="57" spans="1:17" x14ac:dyDescent="0.25">
      <c r="A57" s="73" t="s">
        <v>127</v>
      </c>
      <c r="B57" s="132"/>
      <c r="C57" s="48">
        <v>457.174531</v>
      </c>
      <c r="D57" s="64">
        <v>1771.0035051999998</v>
      </c>
      <c r="E57" s="109">
        <v>11403.307000000001</v>
      </c>
      <c r="F57" s="105">
        <v>7866.2972901200064</v>
      </c>
      <c r="G57" s="27">
        <f t="shared" si="1"/>
        <v>19269.604290120005</v>
      </c>
      <c r="H57" s="356">
        <f>G57/'Indicador Blanchard'!B62</f>
        <v>0.2157333606532536</v>
      </c>
      <c r="I57" s="126"/>
      <c r="J57" s="126"/>
      <c r="K57" s="126"/>
      <c r="L57" s="126"/>
      <c r="M57" s="126"/>
      <c r="N57" s="126"/>
      <c r="O57" s="126"/>
      <c r="P57" s="126"/>
      <c r="Q57" s="126"/>
    </row>
    <row r="58" spans="1:17" x14ac:dyDescent="0.25">
      <c r="A58" s="73" t="s">
        <v>130</v>
      </c>
      <c r="B58" s="132"/>
      <c r="C58" s="48">
        <v>321.975347</v>
      </c>
      <c r="D58" s="64">
        <v>1470.7957390000001</v>
      </c>
      <c r="E58" s="109">
        <v>11621.047</v>
      </c>
      <c r="F58" s="105">
        <v>8418.6961721200059</v>
      </c>
      <c r="G58" s="27">
        <f t="shared" si="1"/>
        <v>20039.743172120005</v>
      </c>
      <c r="H58" s="356">
        <f>G58/'Indicador Blanchard'!B63</f>
        <v>0.22057114914759887</v>
      </c>
      <c r="I58" s="126"/>
      <c r="J58" s="126"/>
      <c r="K58" s="126"/>
      <c r="L58" s="126"/>
      <c r="M58" s="126"/>
      <c r="N58" s="126"/>
      <c r="O58" s="126"/>
      <c r="P58" s="126"/>
      <c r="Q58" s="126"/>
    </row>
    <row r="59" spans="1:17" x14ac:dyDescent="0.25">
      <c r="A59" s="104" t="s">
        <v>137</v>
      </c>
      <c r="B59" s="48"/>
      <c r="C59" s="48">
        <v>515.96400099999994</v>
      </c>
      <c r="D59" s="64">
        <v>1758.5794700000001</v>
      </c>
      <c r="E59" s="109">
        <v>11626.6</v>
      </c>
      <c r="F59" s="105">
        <v>8744.9517211200055</v>
      </c>
      <c r="G59" s="27">
        <f t="shared" si="1"/>
        <v>20371.551721120006</v>
      </c>
      <c r="H59" s="356">
        <f>G59/'Indicador Blanchard'!B64</f>
        <v>0.21908307308261105</v>
      </c>
      <c r="I59" s="126"/>
      <c r="J59" s="126"/>
      <c r="K59" s="126"/>
      <c r="L59" s="126"/>
      <c r="M59" s="126"/>
      <c r="N59" s="126"/>
      <c r="O59" s="126"/>
      <c r="P59" s="126"/>
      <c r="Q59" s="126"/>
    </row>
    <row r="60" spans="1:17" x14ac:dyDescent="0.25">
      <c r="A60" s="104" t="s">
        <v>138</v>
      </c>
      <c r="B60" s="48"/>
      <c r="C60" s="48">
        <v>781.44530500000008</v>
      </c>
      <c r="D60" s="64">
        <v>2076.5591840000002</v>
      </c>
      <c r="E60" s="109">
        <v>11936.852000000001</v>
      </c>
      <c r="F60" s="105">
        <v>9926.5837172900046</v>
      </c>
      <c r="G60" s="27">
        <f t="shared" si="1"/>
        <v>21863.435717290005</v>
      </c>
      <c r="H60" s="356">
        <f>G60/'Indicador Blanchard'!B65</f>
        <v>0.22982775242881934</v>
      </c>
      <c r="I60" s="126"/>
      <c r="J60" s="126"/>
      <c r="K60" s="126"/>
      <c r="L60" s="126"/>
      <c r="M60" s="126"/>
      <c r="N60" s="126"/>
      <c r="O60" s="126"/>
      <c r="P60" s="126"/>
      <c r="Q60" s="126"/>
    </row>
    <row r="61" spans="1:17" x14ac:dyDescent="0.25">
      <c r="A61" s="73" t="s">
        <v>140</v>
      </c>
      <c r="B61" s="48"/>
      <c r="C61" s="133">
        <v>661.31609252999999</v>
      </c>
      <c r="D61" s="64">
        <v>2325.54274553</v>
      </c>
      <c r="E61" s="64">
        <v>11916.379000000001</v>
      </c>
      <c r="F61" s="64">
        <v>10869.743882150004</v>
      </c>
      <c r="G61" s="27">
        <f t="shared" si="1"/>
        <v>22786.122882150004</v>
      </c>
      <c r="H61" s="356">
        <f>G61/'Indicador Blanchard'!B66</f>
        <v>0.23505056775453909</v>
      </c>
      <c r="I61" s="126"/>
      <c r="J61" s="126"/>
      <c r="K61" s="126"/>
      <c r="L61" s="126"/>
      <c r="M61" s="126"/>
      <c r="N61" s="126"/>
      <c r="O61" s="126"/>
      <c r="P61" s="126"/>
      <c r="Q61" s="126"/>
    </row>
    <row r="62" spans="1:17" x14ac:dyDescent="0.25">
      <c r="A62" s="73" t="s">
        <v>139</v>
      </c>
      <c r="B62" s="48"/>
      <c r="C62" s="133">
        <v>1089.1076430000001</v>
      </c>
      <c r="D62" s="64">
        <v>3113.1880415300002</v>
      </c>
      <c r="E62" s="64">
        <v>14169.716</v>
      </c>
      <c r="F62" s="64">
        <v>11295.032799150003</v>
      </c>
      <c r="G62" s="27">
        <f t="shared" si="1"/>
        <v>25464.748799150002</v>
      </c>
      <c r="H62" s="356">
        <f>G62/'Indicador Blanchard'!B67</f>
        <v>0.25710717837450142</v>
      </c>
      <c r="I62" s="126"/>
      <c r="J62" s="126"/>
      <c r="K62" s="126"/>
      <c r="L62" s="126"/>
      <c r="M62" s="126"/>
      <c r="N62" s="126"/>
      <c r="O62" s="126"/>
      <c r="P62" s="126"/>
      <c r="Q62" s="126"/>
    </row>
    <row r="63" spans="1:17" x14ac:dyDescent="0.25">
      <c r="A63" s="73" t="s">
        <v>141</v>
      </c>
      <c r="B63" s="48"/>
      <c r="C63" s="133">
        <v>1038.6685830000001</v>
      </c>
      <c r="D63" s="64">
        <v>3684.4016235300001</v>
      </c>
      <c r="E63" s="64">
        <v>14728.159</v>
      </c>
      <c r="F63" s="64">
        <v>11279.644629150001</v>
      </c>
      <c r="G63" s="27">
        <f t="shared" si="1"/>
        <v>26007.803629150003</v>
      </c>
      <c r="H63" s="356">
        <f>G63/'Indicador Blanchard'!B68</f>
        <v>0.25814796976225524</v>
      </c>
      <c r="I63" s="126"/>
      <c r="J63" s="126"/>
      <c r="K63" s="126"/>
      <c r="L63" s="126"/>
      <c r="M63" s="126"/>
      <c r="N63" s="126"/>
      <c r="O63" s="126"/>
      <c r="P63" s="126"/>
      <c r="Q63" s="126"/>
    </row>
    <row r="64" spans="1:17" x14ac:dyDescent="0.25">
      <c r="A64" s="73" t="s">
        <v>142</v>
      </c>
      <c r="B64" s="48"/>
      <c r="C64" s="133">
        <v>782.38108199999999</v>
      </c>
      <c r="D64" s="64">
        <v>3706.6444005300004</v>
      </c>
      <c r="E64" s="64">
        <v>15574.382</v>
      </c>
      <c r="F64" s="64">
        <v>12558.316293150001</v>
      </c>
      <c r="G64" s="27">
        <f t="shared" si="1"/>
        <v>28132.698293150002</v>
      </c>
      <c r="H64" s="356">
        <f>G64/'Indicador Blanchard'!B69</f>
        <v>0.27655276678709667</v>
      </c>
      <c r="I64" s="126"/>
      <c r="J64" s="126"/>
      <c r="K64" s="126"/>
      <c r="L64" s="126"/>
      <c r="M64" s="126"/>
      <c r="N64" s="126"/>
      <c r="O64" s="126"/>
      <c r="P64" s="126"/>
      <c r="Q64" s="126"/>
    </row>
    <row r="65" spans="1:17" x14ac:dyDescent="0.25">
      <c r="A65" s="73" t="s">
        <v>144</v>
      </c>
      <c r="B65" s="48"/>
      <c r="C65" s="133">
        <v>1747.7671529999998</v>
      </c>
      <c r="D65" s="64">
        <v>4671.2794610000001</v>
      </c>
      <c r="E65" s="64">
        <v>17158.599999999999</v>
      </c>
      <c r="F65" s="64">
        <v>12630.708787150001</v>
      </c>
      <c r="G65" s="27">
        <f t="shared" si="1"/>
        <v>29789.308787149999</v>
      </c>
      <c r="H65" s="356">
        <f>G65/'Indicador Blanchard'!B70</f>
        <v>0.29220222168642396</v>
      </c>
      <c r="I65" s="126"/>
      <c r="J65" s="126"/>
      <c r="K65" s="126"/>
      <c r="L65" s="126"/>
      <c r="M65" s="126"/>
      <c r="N65" s="126"/>
      <c r="O65" s="126"/>
      <c r="P65" s="126"/>
      <c r="Q65" s="126"/>
    </row>
    <row r="66" spans="1:17" x14ac:dyDescent="0.25">
      <c r="A66" s="73" t="s">
        <v>147</v>
      </c>
      <c r="B66" s="48"/>
      <c r="C66" s="133"/>
      <c r="D66" s="64">
        <v>4640.8841080000002</v>
      </c>
      <c r="E66" s="64">
        <v>18024.900000000001</v>
      </c>
      <c r="F66" s="64">
        <v>12303.7</v>
      </c>
      <c r="G66" s="27">
        <f t="shared" si="1"/>
        <v>30328.600000000002</v>
      </c>
      <c r="H66" s="356">
        <f>G66/'Indicador Blanchard'!B71</f>
        <v>0.29883193098687577</v>
      </c>
      <c r="I66" s="126"/>
      <c r="J66" s="126"/>
      <c r="K66" s="126"/>
      <c r="L66" s="126"/>
      <c r="M66" s="126"/>
      <c r="N66" s="126"/>
      <c r="O66" s="126"/>
      <c r="P66" s="126"/>
      <c r="Q66" s="126"/>
    </row>
    <row r="67" spans="1:17" x14ac:dyDescent="0.25">
      <c r="A67" s="73" t="s">
        <v>148</v>
      </c>
      <c r="B67" s="48"/>
      <c r="C67" s="133"/>
      <c r="D67" s="64">
        <v>4036.9082039999994</v>
      </c>
      <c r="E67" s="64">
        <v>20179.969000000001</v>
      </c>
      <c r="F67" s="64">
        <v>12109.481808750004</v>
      </c>
      <c r="G67" s="27">
        <f t="shared" si="1"/>
        <v>32289.450808750007</v>
      </c>
      <c r="H67" s="356">
        <f>G67/'Indicador Blanchard'!B72</f>
        <v>0.32184106756039343</v>
      </c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x14ac:dyDescent="0.25">
      <c r="A68" s="73" t="s">
        <v>149</v>
      </c>
      <c r="B68" s="48"/>
      <c r="C68" s="133"/>
      <c r="D68" s="64">
        <v>5900.9512080000004</v>
      </c>
      <c r="E68" s="64">
        <v>20084.149000000001</v>
      </c>
      <c r="F68" s="64">
        <v>12546.003827150003</v>
      </c>
      <c r="G68" s="27">
        <f t="shared" si="1"/>
        <v>32630.152827150006</v>
      </c>
      <c r="H68" s="356">
        <f>G68/'Indicador Blanchard'!B73</f>
        <v>0.3286335745569352</v>
      </c>
    </row>
    <row r="69" spans="1:17" x14ac:dyDescent="0.25">
      <c r="A69" s="73" t="s">
        <v>150</v>
      </c>
      <c r="B69" s="134"/>
      <c r="C69" s="133"/>
      <c r="D69" s="64">
        <v>5235.9923990000007</v>
      </c>
      <c r="E69" s="64">
        <v>21091</v>
      </c>
      <c r="F69" s="64">
        <v>13863.400628150004</v>
      </c>
      <c r="G69" s="27">
        <f t="shared" si="1"/>
        <v>34954.400628150004</v>
      </c>
      <c r="H69" s="356">
        <f>G69/'Indicador Blanchard'!B74</f>
        <v>0.35253628135721787</v>
      </c>
    </row>
    <row r="70" spans="1:17" x14ac:dyDescent="0.25">
      <c r="A70" s="73" t="s">
        <v>151</v>
      </c>
      <c r="B70" s="134"/>
      <c r="C70" s="133"/>
      <c r="D70" s="64">
        <v>8113.4701380000006</v>
      </c>
      <c r="E70" s="64">
        <v>22572</v>
      </c>
      <c r="F70" s="64">
        <v>12906.223762150004</v>
      </c>
      <c r="G70" s="27">
        <f t="shared" si="1"/>
        <v>35478.223762150003</v>
      </c>
      <c r="H70" s="356">
        <f>G70/'Indicador Blanchard'!B75</f>
        <v>0.35839773244251616</v>
      </c>
    </row>
    <row r="71" spans="1:17" x14ac:dyDescent="0.25">
      <c r="A71" s="73" t="s">
        <v>152</v>
      </c>
      <c r="B71" s="48"/>
      <c r="C71" s="133"/>
      <c r="D71" s="64">
        <v>9927.2589488900012</v>
      </c>
      <c r="E71" s="64">
        <v>28145</v>
      </c>
      <c r="F71" s="64">
        <v>12403.517750410001</v>
      </c>
      <c r="G71" s="27">
        <f t="shared" si="1"/>
        <v>40548.517750409999</v>
      </c>
      <c r="H71" s="356">
        <f>G71/'Indicador Blanchard'!B76</f>
        <v>0.4090760099021804</v>
      </c>
    </row>
    <row r="72" spans="1:17" x14ac:dyDescent="0.25">
      <c r="A72" s="73" t="s">
        <v>153</v>
      </c>
      <c r="B72" s="48"/>
      <c r="C72" s="133"/>
      <c r="D72" s="64">
        <v>9627.6724446999997</v>
      </c>
      <c r="E72" s="64">
        <v>25679.3</v>
      </c>
      <c r="F72" s="64">
        <v>12457.36496563</v>
      </c>
      <c r="G72" s="27">
        <f t="shared" si="1"/>
        <v>38136.66496563</v>
      </c>
      <c r="H72" s="356">
        <f>G72/'Indicador Blanchard'!B77</f>
        <v>0.38160440446445754</v>
      </c>
    </row>
    <row r="73" spans="1:17" x14ac:dyDescent="0.25">
      <c r="A73" s="73" t="s">
        <v>170</v>
      </c>
      <c r="B73" s="48"/>
      <c r="C73" s="133"/>
      <c r="D73" s="64">
        <v>11073.905908699999</v>
      </c>
      <c r="E73" s="64">
        <v>26486.2</v>
      </c>
      <c r="F73" s="64">
        <v>16619.8</v>
      </c>
      <c r="G73" s="27">
        <f t="shared" si="1"/>
        <v>43106</v>
      </c>
      <c r="H73" s="356">
        <f>G73/'Indicador Blanchard'!B78</f>
        <v>0.4266890654834381</v>
      </c>
    </row>
    <row r="74" spans="1:17" x14ac:dyDescent="0.25">
      <c r="A74" s="73" t="s">
        <v>172</v>
      </c>
      <c r="B74" s="48"/>
      <c r="C74" s="133"/>
      <c r="D74" s="64">
        <v>10405.6300257</v>
      </c>
      <c r="E74" s="64">
        <v>28552.1</v>
      </c>
      <c r="F74" s="64">
        <v>14990</v>
      </c>
      <c r="G74" s="27">
        <f t="shared" si="1"/>
        <v>43542.1</v>
      </c>
      <c r="H74" s="356">
        <f>G74/'Indicador Blanchard'!B79</f>
        <v>0.42649970103362317</v>
      </c>
    </row>
    <row r="75" spans="1:17" x14ac:dyDescent="0.25">
      <c r="A75" s="73" t="s">
        <v>174</v>
      </c>
      <c r="B75" s="48"/>
      <c r="C75" s="133"/>
      <c r="D75" s="64">
        <v>9119.3038128099997</v>
      </c>
      <c r="E75" s="64">
        <v>28145.200000000001</v>
      </c>
      <c r="F75" s="64">
        <v>14961.376</v>
      </c>
      <c r="G75" s="27">
        <f t="shared" si="1"/>
        <v>43106.576000000001</v>
      </c>
      <c r="H75" s="356">
        <f>G75/'Indicador Blanchard'!B80</f>
        <v>0.41793461385639991</v>
      </c>
    </row>
    <row r="76" spans="1:17" x14ac:dyDescent="0.25">
      <c r="A76" s="73" t="s">
        <v>190</v>
      </c>
      <c r="D76" s="64">
        <v>7493.2665449999995</v>
      </c>
      <c r="E76" s="64">
        <v>31749</v>
      </c>
      <c r="F76" s="64">
        <v>14785.697104550005</v>
      </c>
      <c r="G76" s="27">
        <f t="shared" si="1"/>
        <v>46534.697104550003</v>
      </c>
      <c r="H76" s="356">
        <f>G76/'Indicador Blanchard'!B81</f>
        <v>0.44617970657886702</v>
      </c>
    </row>
    <row r="77" spans="1:17" x14ac:dyDescent="0.25">
      <c r="A77" s="73" t="s">
        <v>252</v>
      </c>
      <c r="D77" s="27">
        <v>6181.7987369999992</v>
      </c>
      <c r="E77" s="27">
        <v>34566</v>
      </c>
      <c r="F77" s="27">
        <v>14364</v>
      </c>
      <c r="G77" s="27">
        <f t="shared" si="1"/>
        <v>48930</v>
      </c>
    </row>
    <row r="78" spans="1:17" x14ac:dyDescent="0.25">
      <c r="A78" s="73" t="s">
        <v>250</v>
      </c>
      <c r="D78" s="27">
        <v>3999.971591</v>
      </c>
      <c r="E78" s="27">
        <v>34000</v>
      </c>
      <c r="F78" s="27">
        <v>14785.6</v>
      </c>
      <c r="G78" s="370">
        <f t="shared" si="1"/>
        <v>48785.599999999999</v>
      </c>
    </row>
    <row r="79" spans="1:17" x14ac:dyDescent="0.25">
      <c r="A79" s="73" t="s">
        <v>251</v>
      </c>
      <c r="D79" s="27">
        <v>4202.2073139999993</v>
      </c>
      <c r="E79" s="27">
        <v>34874.9</v>
      </c>
      <c r="F79" s="27">
        <v>13866.2</v>
      </c>
      <c r="G79" s="370">
        <f t="shared" si="1"/>
        <v>48741.100000000006</v>
      </c>
    </row>
    <row r="80" spans="1:17" x14ac:dyDescent="0.25">
      <c r="A80" s="73" t="s">
        <v>253</v>
      </c>
      <c r="D80" s="126">
        <v>4947.6999999999989</v>
      </c>
      <c r="E80" s="27">
        <v>35695.5</v>
      </c>
      <c r="F80" s="27">
        <v>13733.1</v>
      </c>
      <c r="G80" s="370">
        <f t="shared" si="1"/>
        <v>49428.6</v>
      </c>
    </row>
    <row r="83" spans="4:7" x14ac:dyDescent="0.25">
      <c r="D83" s="27">
        <v>6181.7987369999992</v>
      </c>
      <c r="E83" s="27">
        <v>3999.971591</v>
      </c>
      <c r="F83" s="27">
        <v>4202.2073139999993</v>
      </c>
      <c r="G83">
        <v>4947.6999999999989</v>
      </c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19"/>
  <sheetViews>
    <sheetView zoomScale="90" zoomScaleNormal="90" zoomScalePageLayoutView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1" sqref="H11"/>
    </sheetView>
  </sheetViews>
  <sheetFormatPr baseColWidth="10" defaultColWidth="11.42578125" defaultRowHeight="15" x14ac:dyDescent="0.25"/>
  <cols>
    <col min="2" max="2" width="12.42578125" customWidth="1"/>
    <col min="3" max="3" width="15.42578125" customWidth="1"/>
    <col min="4" max="4" width="15.42578125" style="126" customWidth="1"/>
    <col min="6" max="6" width="14.42578125" customWidth="1"/>
    <col min="7" max="7" width="13.42578125" customWidth="1"/>
    <col min="8" max="8" width="12.42578125" style="160" customWidth="1"/>
    <col min="9" max="9" width="9.140625" customWidth="1"/>
    <col min="11" max="11" width="11.85546875" bestFit="1" customWidth="1"/>
    <col min="12" max="12" width="0" style="48" hidden="1" customWidth="1"/>
    <col min="13" max="13" width="15.140625" style="48" hidden="1" customWidth="1"/>
    <col min="14" max="14" width="4.85546875" customWidth="1"/>
  </cols>
  <sheetData>
    <row r="1" spans="2:19" ht="33.75" x14ac:dyDescent="0.25">
      <c r="H1" s="161" t="s">
        <v>191</v>
      </c>
    </row>
    <row r="2" spans="2:19" ht="60" x14ac:dyDescent="0.25">
      <c r="B2" s="53" t="s">
        <v>52</v>
      </c>
      <c r="C2" s="69" t="s">
        <v>107</v>
      </c>
      <c r="D2" s="69" t="s">
        <v>198</v>
      </c>
      <c r="E2" s="189" t="s">
        <v>108</v>
      </c>
      <c r="F2" s="189" t="s">
        <v>109</v>
      </c>
      <c r="G2" s="190" t="s">
        <v>110</v>
      </c>
      <c r="H2" s="162" t="s">
        <v>136</v>
      </c>
      <c r="J2" s="53" t="s">
        <v>112</v>
      </c>
      <c r="K2" s="117" t="s">
        <v>113</v>
      </c>
      <c r="L2" s="164" t="s">
        <v>114</v>
      </c>
      <c r="M2" s="164" t="s">
        <v>177</v>
      </c>
      <c r="O2" s="116" t="s">
        <v>169</v>
      </c>
      <c r="P2" s="115" t="s">
        <v>159</v>
      </c>
      <c r="Q2" s="118" t="s">
        <v>115</v>
      </c>
      <c r="R2" s="117" t="s">
        <v>245</v>
      </c>
      <c r="S2" s="117" t="s">
        <v>131</v>
      </c>
    </row>
    <row r="3" spans="2:19" s="126" customFormat="1" x14ac:dyDescent="0.25">
      <c r="B3" s="1" t="s">
        <v>203</v>
      </c>
      <c r="C3" s="141">
        <f>'Ingreso estructural no oil'!BO4</f>
        <v>2289.0258347009853</v>
      </c>
      <c r="E3" s="17">
        <f t="shared" ref="E3:E9" si="0">C3</f>
        <v>2289.0258347009853</v>
      </c>
      <c r="F3" s="181">
        <f>'Gasto estructural'!BF5</f>
        <v>3958.8569446714773</v>
      </c>
      <c r="G3" s="55">
        <f t="shared" ref="G3:G10" si="1">E3-F3</f>
        <v>-1669.831109970492</v>
      </c>
      <c r="H3" s="163"/>
      <c r="J3" s="181">
        <f>'Gasto estructural'!BH5</f>
        <v>2945.7963813785732</v>
      </c>
      <c r="K3" s="55">
        <f>G3+'Gasto estructural'!L5</f>
        <v>-656.77054667758784</v>
      </c>
      <c r="L3" s="165"/>
      <c r="M3" s="66"/>
      <c r="O3" s="142"/>
      <c r="P3" s="142">
        <f>G3/'Ingreso estructural no oil'!N4</f>
        <v>-6.6931247565369958E-2</v>
      </c>
      <c r="Q3" s="142"/>
      <c r="R3" s="142">
        <f>K3/'Ingreso estructural no oil'!N4</f>
        <v>-2.6325100658891067E-2</v>
      </c>
    </row>
    <row r="4" spans="2:19" s="126" customFormat="1" x14ac:dyDescent="0.25">
      <c r="B4" s="1" t="s">
        <v>204</v>
      </c>
      <c r="C4" s="141">
        <f>'Ingreso estructural no oil'!BO5</f>
        <v>2154.59864270244</v>
      </c>
      <c r="E4" s="17">
        <f t="shared" si="0"/>
        <v>2154.59864270244</v>
      </c>
      <c r="F4" s="181">
        <f>'Gasto estructural'!BF6</f>
        <v>3694.7230695922112</v>
      </c>
      <c r="G4" s="55">
        <f t="shared" si="1"/>
        <v>-1540.1244268897713</v>
      </c>
      <c r="H4" s="163"/>
      <c r="J4" s="181">
        <f>'Gasto estructural'!BH6</f>
        <v>2631.2696510540491</v>
      </c>
      <c r="K4" s="55">
        <f>G4+'Gasto estructural'!L6</f>
        <v>-476.67100835160886</v>
      </c>
      <c r="L4" s="165"/>
      <c r="M4" s="66"/>
      <c r="O4" s="142"/>
      <c r="P4" s="142">
        <f>G4/'Ingreso estructural no oil'!N5</f>
        <v>-6.6721552038188373E-2</v>
      </c>
      <c r="Q4" s="142"/>
      <c r="R4" s="142">
        <f>K4/'Ingreso estructural no oil'!N5</f>
        <v>-2.0650428584562581E-2</v>
      </c>
    </row>
    <row r="5" spans="2:19" s="126" customFormat="1" x14ac:dyDescent="0.25">
      <c r="B5" s="1" t="s">
        <v>205</v>
      </c>
      <c r="C5" s="141">
        <f>'Ingreso estructural no oil'!BO6</f>
        <v>1984.3273144387226</v>
      </c>
      <c r="E5" s="17">
        <f t="shared" si="0"/>
        <v>1984.3273144387226</v>
      </c>
      <c r="F5" s="181">
        <f>'Gasto estructural'!BF7</f>
        <v>3469.1650747131011</v>
      </c>
      <c r="G5" s="55">
        <f t="shared" si="1"/>
        <v>-1484.8377602743785</v>
      </c>
      <c r="H5" s="163"/>
      <c r="J5" s="181">
        <f>'Gasto estructural'!BH7</f>
        <v>2340.1909094652165</v>
      </c>
      <c r="K5" s="55">
        <f>G5+'Gasto estructural'!L7</f>
        <v>-355.86359502649361</v>
      </c>
      <c r="L5" s="165"/>
      <c r="M5" s="66"/>
      <c r="O5" s="142"/>
      <c r="P5" s="142">
        <f>G5/'Ingreso estructural no oil'!N6</f>
        <v>-7.020643133895231E-2</v>
      </c>
      <c r="Q5" s="142"/>
      <c r="R5" s="142">
        <f>K5/'Ingreso estructural no oil'!N6</f>
        <v>-1.6826022154530579E-2</v>
      </c>
    </row>
    <row r="6" spans="2:19" s="126" customFormat="1" x14ac:dyDescent="0.25">
      <c r="B6" s="1" t="s">
        <v>206</v>
      </c>
      <c r="C6" s="141">
        <f>'Ingreso estructural no oil'!BO7</f>
        <v>1766.3593215589408</v>
      </c>
      <c r="E6" s="17">
        <f t="shared" si="0"/>
        <v>1766.3593215589408</v>
      </c>
      <c r="F6" s="181">
        <f>'Gasto estructural'!BF8</f>
        <v>3255.8901278431058</v>
      </c>
      <c r="G6" s="55">
        <f t="shared" si="1"/>
        <v>-1489.530806284165</v>
      </c>
      <c r="H6" s="163"/>
      <c r="J6" s="181">
        <f>'Gasto estructural'!BH8</f>
        <v>2101.2959764268635</v>
      </c>
      <c r="K6" s="55">
        <f>G6+'Gasto estructural'!L8</f>
        <v>-334.9366548679227</v>
      </c>
      <c r="L6" s="165"/>
      <c r="M6" s="66"/>
      <c r="O6" s="142"/>
      <c r="P6" s="142">
        <f>G6/'Ingreso estructural no oil'!N7</f>
        <v>-7.7699854541882482E-2</v>
      </c>
      <c r="Q6" s="142"/>
      <c r="R6" s="142">
        <f>K6/'Ingreso estructural no oil'!N7</f>
        <v>-1.7471628820422976E-2</v>
      </c>
    </row>
    <row r="7" spans="2:19" s="126" customFormat="1" x14ac:dyDescent="0.25">
      <c r="B7" s="1" t="s">
        <v>0</v>
      </c>
      <c r="C7" s="141">
        <f>'Ingreso estructural no oil'!BO8</f>
        <v>1687.5033542707433</v>
      </c>
      <c r="E7" s="17">
        <f t="shared" si="0"/>
        <v>1687.5033542707433</v>
      </c>
      <c r="F7" s="181">
        <f>'Gasto estructural'!BF9</f>
        <v>3083.0709640297482</v>
      </c>
      <c r="G7" s="55">
        <f t="shared" si="1"/>
        <v>-1395.5676097590049</v>
      </c>
      <c r="H7" s="163"/>
      <c r="J7" s="181">
        <f>'Gasto estructural'!BH9</f>
        <v>1950.10137076618</v>
      </c>
      <c r="K7" s="55">
        <f>G7+'Gasto estructural'!L9</f>
        <v>-262.5980164954367</v>
      </c>
      <c r="L7" s="165"/>
      <c r="M7" s="66"/>
      <c r="O7" s="142"/>
      <c r="P7" s="142">
        <f>G7/'Ingreso estructural no oil'!N8</f>
        <v>-7.5598812198050064E-2</v>
      </c>
      <c r="Q7" s="142"/>
      <c r="R7" s="142">
        <f>K7/'Ingreso estructural no oil'!N8</f>
        <v>-1.4225106683328048E-2</v>
      </c>
    </row>
    <row r="8" spans="2:19" s="126" customFormat="1" x14ac:dyDescent="0.25">
      <c r="B8" s="1" t="s">
        <v>6</v>
      </c>
      <c r="C8" s="141">
        <f>'Ingreso estructural no oil'!BO9</f>
        <v>1640.9500648955764</v>
      </c>
      <c r="E8" s="17">
        <f t="shared" si="0"/>
        <v>1640.9500648955764</v>
      </c>
      <c r="F8" s="181">
        <f>'Gasto estructural'!BF10</f>
        <v>2956.3874788988942</v>
      </c>
      <c r="G8" s="55">
        <f t="shared" si="1"/>
        <v>-1315.4374140033178</v>
      </c>
      <c r="H8" s="163"/>
      <c r="I8" s="126">
        <v>-1723.6</v>
      </c>
      <c r="J8" s="181">
        <f>'Gasto estructural'!BH10</f>
        <v>1847.4492247095284</v>
      </c>
      <c r="K8" s="55">
        <f>G8+'Gasto estructural'!L10</f>
        <v>-206.49915981395202</v>
      </c>
      <c r="L8" s="165"/>
      <c r="M8" s="66"/>
      <c r="O8" s="142"/>
      <c r="P8" s="142">
        <f>G8/'Ingreso estructural no oil'!N9</f>
        <v>-7.2533869280171748E-2</v>
      </c>
      <c r="Q8" s="142"/>
      <c r="R8" s="142">
        <f>K8/'Ingreso estructural no oil'!N9</f>
        <v>-1.138646575273152E-2</v>
      </c>
    </row>
    <row r="9" spans="2:19" s="126" customFormat="1" x14ac:dyDescent="0.25">
      <c r="B9" s="1" t="s">
        <v>1</v>
      </c>
      <c r="C9" s="141">
        <f>'Ingreso estructural no oil'!BO10</f>
        <v>1997.5701408300897</v>
      </c>
      <c r="D9" s="180"/>
      <c r="E9" s="17">
        <f t="shared" si="0"/>
        <v>1997.5701408300897</v>
      </c>
      <c r="F9" s="181">
        <f>'Gasto estructural'!BF11</f>
        <v>3129.1093890915704</v>
      </c>
      <c r="G9" s="55">
        <f>E9-F9</f>
        <v>-1131.5392482614807</v>
      </c>
      <c r="H9" s="163"/>
      <c r="I9" s="126">
        <v>-1555.5</v>
      </c>
      <c r="J9" s="181">
        <f>'Gasto estructural'!BH11</f>
        <v>1956.03116059077</v>
      </c>
      <c r="K9" s="55">
        <f>G9+'Gasto estructural'!L11</f>
        <v>41.538980239319699</v>
      </c>
      <c r="L9" s="165"/>
      <c r="M9" s="66"/>
      <c r="O9" s="142"/>
      <c r="P9" s="142">
        <f>G9/'Ingreso estructural no oil'!N10</f>
        <v>-6.2366093963299632E-2</v>
      </c>
      <c r="Q9" s="142"/>
      <c r="R9" s="142">
        <f>K9/'Ingreso estructural no oil'!N10</f>
        <v>2.2894689236147531E-3</v>
      </c>
    </row>
    <row r="10" spans="2:19" s="48" customFormat="1" x14ac:dyDescent="0.25">
      <c r="B10" s="222" t="s">
        <v>2</v>
      </c>
      <c r="C10" s="363">
        <f>'Ingreso estructural no oil'!BO11</f>
        <v>2184.2509415701857</v>
      </c>
      <c r="D10" s="66">
        <v>1421.1152499838399</v>
      </c>
      <c r="E10" s="165">
        <f>C10</f>
        <v>2184.2509415701857</v>
      </c>
      <c r="F10" s="66">
        <f>'Gasto estructural'!BF12</f>
        <v>3856.8951602814477</v>
      </c>
      <c r="G10" s="230">
        <f t="shared" si="1"/>
        <v>-1672.6442187112621</v>
      </c>
      <c r="H10" s="162"/>
      <c r="I10" s="48">
        <v>-1478.8999999999999</v>
      </c>
      <c r="J10" s="66">
        <f>'Gasto estructural'!BH12</f>
        <v>2929.2748733848689</v>
      </c>
      <c r="K10" s="230">
        <f>G10+'Gasto estructural'!L12</f>
        <v>-745.02393181468312</v>
      </c>
      <c r="L10" s="164"/>
      <c r="M10" s="164"/>
      <c r="O10" s="164"/>
      <c r="P10" s="364">
        <f>G10/'Ingreso estructural no oil'!N11</f>
        <v>-9.1308513063375424E-2</v>
      </c>
      <c r="Q10" s="164"/>
      <c r="R10" s="364">
        <f>K10/'Ingreso estructural no oil'!N11</f>
        <v>-4.0670350962646283E-2</v>
      </c>
      <c r="S10" s="364">
        <v>3.6906776949868346E-2</v>
      </c>
    </row>
    <row r="11" spans="2:19" x14ac:dyDescent="0.25">
      <c r="B11" s="1" t="s">
        <v>3</v>
      </c>
      <c r="C11" s="141">
        <f>'Ingreso estructural no oil'!BO12</f>
        <v>2100.7341801549201</v>
      </c>
      <c r="D11" s="362">
        <v>1421.1152499838399</v>
      </c>
      <c r="E11" s="17">
        <f t="shared" ref="E11:E74" si="2">C11</f>
        <v>2100.7341801549201</v>
      </c>
      <c r="F11" s="181">
        <f>'Gasto estructural'!BF13</f>
        <v>3620.7495896655237</v>
      </c>
      <c r="G11" s="55">
        <f>E11-F11</f>
        <v>-1520.0154095106036</v>
      </c>
      <c r="H11" s="163">
        <v>-107.3</v>
      </c>
      <c r="I11" s="160">
        <v>-1480.8</v>
      </c>
      <c r="J11" s="12">
        <f>'Gasto estructural'!BH13</f>
        <v>2678.9788739140768</v>
      </c>
      <c r="K11" s="55">
        <f>G11+'Gasto estructural'!L13</f>
        <v>-578.24469375915669</v>
      </c>
      <c r="L11" s="165">
        <f>H11+'Gasto estructural'!I13</f>
        <v>834.1</v>
      </c>
      <c r="M11" s="66">
        <f>'Datos CBE'!D9</f>
        <v>7412.1459999999997</v>
      </c>
      <c r="O11" s="142"/>
      <c r="P11" s="142">
        <f>G11/'Ingreso estructural no oil'!N12</f>
        <v>-7.4497569688981372E-2</v>
      </c>
      <c r="Q11" s="56"/>
      <c r="R11" s="142">
        <f>K11/'Ingreso estructural no oil'!N12</f>
        <v>-2.834038661784103E-2</v>
      </c>
      <c r="S11" s="142">
        <v>4.1309935532105622E-2</v>
      </c>
    </row>
    <row r="12" spans="2:19" x14ac:dyDescent="0.25">
      <c r="B12" s="1" t="s">
        <v>4</v>
      </c>
      <c r="C12" s="141">
        <f>'Ingreso estructural no oil'!BO13</f>
        <v>2331.9505183103142</v>
      </c>
      <c r="D12" s="362">
        <v>1402.03355128214</v>
      </c>
      <c r="E12" s="17">
        <f t="shared" si="2"/>
        <v>2331.9505183103142</v>
      </c>
      <c r="F12" s="181">
        <f>'Gasto estructural'!BF14</f>
        <v>3949.5935718299611</v>
      </c>
      <c r="G12" s="55">
        <f>E12-F12</f>
        <v>-1617.6430535196469</v>
      </c>
      <c r="H12" s="163">
        <v>-89.7</v>
      </c>
      <c r="I12" s="126">
        <v>-1377.7000000000003</v>
      </c>
      <c r="J12" s="12">
        <f>'Gasto estructural'!BH14</f>
        <v>2959.4887148310891</v>
      </c>
      <c r="K12" s="55">
        <f>G12+'Gasto estructural'!L14</f>
        <v>-627.53819652077493</v>
      </c>
      <c r="L12" s="165">
        <f>H12+'Gasto estructural'!I14</f>
        <v>905</v>
      </c>
      <c r="M12" s="66">
        <f>'Datos CBE'!D10</f>
        <v>7446.3809999999994</v>
      </c>
      <c r="O12" s="142">
        <f>H12/'Ingreso estructural no oil'!N13</f>
        <v>-4.0642121966419009E-3</v>
      </c>
      <c r="P12" s="142">
        <f>G12/'Ingreso estructural no oil'!N13</f>
        <v>-7.3293697078345543E-2</v>
      </c>
      <c r="Q12" s="142">
        <f>L12/'Ingreso estructural no oil'!N13</f>
        <v>4.1004593511270011E-2</v>
      </c>
      <c r="R12" s="142">
        <f>K12/'Ingreso estructural no oil'!N13</f>
        <v>-2.8433092443237405E-2</v>
      </c>
      <c r="S12" s="142">
        <v>3.509155934200945E-2</v>
      </c>
    </row>
    <row r="13" spans="2:19" x14ac:dyDescent="0.25">
      <c r="B13" s="1" t="s">
        <v>5</v>
      </c>
      <c r="C13" s="141">
        <f>'Ingreso estructural no oil'!BO14</f>
        <v>2481.9829944174621</v>
      </c>
      <c r="D13" s="180">
        <v>1390.4146286118751</v>
      </c>
      <c r="E13" s="17">
        <f t="shared" si="2"/>
        <v>2481.9829944174621</v>
      </c>
      <c r="F13" s="181">
        <f>'Gasto estructural'!BF15</f>
        <v>3925.6605016921758</v>
      </c>
      <c r="G13" s="55">
        <f t="shared" ref="G13:G59" si="3">E13-F13</f>
        <v>-1443.6775072747137</v>
      </c>
      <c r="H13" s="163">
        <v>22.399999999999991</v>
      </c>
      <c r="I13" s="126">
        <v>-1267.6999999999998</v>
      </c>
      <c r="J13" s="12">
        <f>'Gasto estructural'!BH15</f>
        <v>3061.3941249316131</v>
      </c>
      <c r="K13" s="55">
        <f>G13+'Gasto estructural'!L15</f>
        <v>-579.41113051415084</v>
      </c>
      <c r="L13" s="165">
        <f>H13+'Gasto estructural'!I15</f>
        <v>873.49999999999989</v>
      </c>
      <c r="M13" s="66">
        <f>'Datos CBE'!D11</f>
        <v>1546.847</v>
      </c>
      <c r="O13" s="142">
        <f>H13/'Ingreso estructural no oil'!N14</f>
        <v>9.6039840069656296E-4</v>
      </c>
      <c r="P13" s="142">
        <f>G13/'Ingreso estructural no oil'!N14</f>
        <v>-6.1897570049474826E-2</v>
      </c>
      <c r="Q13" s="142">
        <f>L13/'Ingreso estructural no oil'!N14</f>
        <v>3.7451250134305711E-2</v>
      </c>
      <c r="R13" s="142">
        <f>K13/'Ingreso estructural no oil'!N14</f>
        <v>-2.4842210852302597E-2</v>
      </c>
      <c r="S13" s="142">
        <v>3.4771734279462403E-2</v>
      </c>
    </row>
    <row r="14" spans="2:19" s="48" customFormat="1" x14ac:dyDescent="0.25">
      <c r="B14" s="222" t="s">
        <v>7</v>
      </c>
      <c r="C14" s="363">
        <f>'Ingreso estructural no oil'!BO15</f>
        <v>2542.2998423210852</v>
      </c>
      <c r="D14" s="165">
        <v>1373.5380376377841</v>
      </c>
      <c r="E14" s="165">
        <f t="shared" si="2"/>
        <v>2542.2998423210852</v>
      </c>
      <c r="F14" s="66">
        <f>'Gasto estructural'!BF16</f>
        <v>3995.9063310233882</v>
      </c>
      <c r="G14" s="230">
        <f t="shared" si="3"/>
        <v>-1453.6064887023031</v>
      </c>
      <c r="H14" s="163">
        <v>-155.10000000000002</v>
      </c>
      <c r="I14" s="48">
        <v>-1280</v>
      </c>
      <c r="J14" s="66">
        <f>'Gasto estructural'!BH16</f>
        <v>3049.3298618488884</v>
      </c>
      <c r="K14" s="230">
        <f>G14+'Gasto estructural'!L16</f>
        <v>-507.03001952780312</v>
      </c>
      <c r="L14" s="165">
        <f>H14+'Gasto estructural'!I16</f>
        <v>799.09999999999991</v>
      </c>
      <c r="M14" s="66">
        <f>'Datos CBE'!D12</f>
        <v>1376.6120000000001</v>
      </c>
      <c r="O14" s="364">
        <f>H14/'Ingreso estructural no oil'!N15</f>
        <v>-6.338807676406444E-3</v>
      </c>
      <c r="P14" s="364">
        <f>G14/'Ingreso estructural no oil'!N15</f>
        <v>-5.9407685164799315E-2</v>
      </c>
      <c r="Q14" s="364">
        <f>L14/'Ingreso estructural no oil'!N15</f>
        <v>3.2658550704167552E-2</v>
      </c>
      <c r="R14" s="364">
        <f>K14/'Ingreso estructural no oil'!N15</f>
        <v>-2.0721894132503849E-2</v>
      </c>
      <c r="S14" s="364">
        <v>3.5413455488881612E-2</v>
      </c>
    </row>
    <row r="15" spans="2:19" x14ac:dyDescent="0.25">
      <c r="B15" s="1" t="s">
        <v>8</v>
      </c>
      <c r="C15" s="141">
        <f>'Ingreso estructural no oil'!BO16</f>
        <v>2697.1036519260829</v>
      </c>
      <c r="D15" s="180">
        <v>1360.1611529162578</v>
      </c>
      <c r="E15" s="17">
        <f t="shared" si="2"/>
        <v>2697.1036519260829</v>
      </c>
      <c r="F15" s="181">
        <f>'Gasto estructural'!BF17</f>
        <v>3984.1060257134459</v>
      </c>
      <c r="G15" s="55">
        <f t="shared" si="3"/>
        <v>-1287.002373787363</v>
      </c>
      <c r="H15" s="163">
        <v>-15.099999999999994</v>
      </c>
      <c r="I15" s="48">
        <v>-1382.3000000000002</v>
      </c>
      <c r="J15" s="12">
        <f>'Gasto estructural'!BH17</f>
        <v>3036.1302705663866</v>
      </c>
      <c r="K15" s="55">
        <f>G15+'Gasto estructural'!L17</f>
        <v>-339.02661864030392</v>
      </c>
      <c r="L15" s="165">
        <f>H15+'Gasto estructural'!I17</f>
        <v>932.1</v>
      </c>
      <c r="M15" s="66">
        <f>'Datos CBE'!D13</f>
        <v>1361.7160000000001</v>
      </c>
      <c r="O15" s="142">
        <f>H15/'Ingreso estructural no oil'!N16</f>
        <v>-5.967956500157912E-4</v>
      </c>
      <c r="P15" s="142">
        <f>G15/'Ingreso estructural no oil'!N16</f>
        <v>-5.0866054187834166E-2</v>
      </c>
      <c r="Q15" s="142">
        <f>L15/'Ingreso estructural no oil'!N16</f>
        <v>3.6839286448988026E-2</v>
      </c>
      <c r="R15" s="142">
        <f>K15/'Ingreso estructural no oil'!N16</f>
        <v>-1.3399312002920265E-2</v>
      </c>
      <c r="S15" s="142">
        <v>4.0358234598155289E-2</v>
      </c>
    </row>
    <row r="16" spans="2:19" x14ac:dyDescent="0.25">
      <c r="B16" s="1" t="s">
        <v>9</v>
      </c>
      <c r="C16" s="141">
        <f>'Ingreso estructural no oil'!BO17</f>
        <v>2863.1261257907108</v>
      </c>
      <c r="D16" s="180">
        <v>1353.5301318443251</v>
      </c>
      <c r="E16" s="17">
        <f t="shared" si="2"/>
        <v>2863.1261257907108</v>
      </c>
      <c r="F16" s="181">
        <f>'Gasto estructural'!BF18</f>
        <v>4195.2918712005712</v>
      </c>
      <c r="G16" s="55">
        <f t="shared" si="3"/>
        <v>-1332.1657454098604</v>
      </c>
      <c r="H16" s="163">
        <v>-103.60000000000001</v>
      </c>
      <c r="I16" s="48">
        <v>-1594.7</v>
      </c>
      <c r="J16" s="12">
        <f>'Gasto estructural'!BH18</f>
        <v>3317.0009842557788</v>
      </c>
      <c r="K16" s="55">
        <f>G16+'Gasto estructural'!L18</f>
        <v>-453.87485846506809</v>
      </c>
      <c r="L16" s="165">
        <f>H16+'Gasto estructural'!I18</f>
        <v>766.3</v>
      </c>
      <c r="M16" s="66">
        <f>'Datos CBE'!D14</f>
        <v>1421.915</v>
      </c>
      <c r="O16" s="142">
        <f>H16/'Ingreso estructural no oil'!N17</f>
        <v>-3.9363496815964256E-3</v>
      </c>
      <c r="P16" s="142">
        <f>G16/'Ingreso estructural no oil'!N17</f>
        <v>-5.061650779708271E-2</v>
      </c>
      <c r="Q16" s="142">
        <f>L16/'Ingreso estructural no oil'!N17</f>
        <v>2.9116069121692477E-2</v>
      </c>
      <c r="R16" s="142">
        <f>K16/'Ingreso estructural no oil'!N17</f>
        <v>-1.7245271762582948E-2</v>
      </c>
      <c r="S16" s="142">
        <v>3.4182937820360776E-2</v>
      </c>
    </row>
    <row r="17" spans="2:19" x14ac:dyDescent="0.25">
      <c r="B17" s="1" t="s">
        <v>10</v>
      </c>
      <c r="C17" s="141">
        <f>'Ingreso estructural no oil'!BO18</f>
        <v>3019.9932742961078</v>
      </c>
      <c r="D17" s="180">
        <v>1356.1657199844599</v>
      </c>
      <c r="E17" s="17">
        <f t="shared" si="2"/>
        <v>3019.9932742961078</v>
      </c>
      <c r="F17" s="181">
        <f>'Gasto estructural'!BF19</f>
        <v>4471.4962959133709</v>
      </c>
      <c r="G17" s="55">
        <f>E17-F17</f>
        <v>-1451.5030216172631</v>
      </c>
      <c r="H17" s="163">
        <v>-280.8</v>
      </c>
      <c r="I17" s="126">
        <v>-1678.1</v>
      </c>
      <c r="J17" s="12">
        <f>'Gasto estructural'!BH19</f>
        <v>3631.6983463990532</v>
      </c>
      <c r="K17" s="55">
        <f>G17+'Gasto estructural'!L19</f>
        <v>-611.70507210294545</v>
      </c>
      <c r="L17" s="165">
        <f>H17+'Gasto estructural'!I19</f>
        <v>553.79999999999995</v>
      </c>
      <c r="M17" s="66">
        <f>'Datos CBE'!D15</f>
        <v>1142.931</v>
      </c>
      <c r="O17" s="142">
        <f>H17/'Ingreso estructural no oil'!N18</f>
        <v>-1.0228269998498907E-2</v>
      </c>
      <c r="P17" s="142">
        <f>G17/'Ingreso estructural no oil'!N18</f>
        <v>-5.2871669546789041E-2</v>
      </c>
      <c r="Q17" s="142">
        <f>L17/'Ingreso estructural no oil'!N18</f>
        <v>2.0172421385928396E-2</v>
      </c>
      <c r="R17" s="142">
        <f>K17/'Ingreso estructural no oil'!N18</f>
        <v>-2.2281640444872391E-2</v>
      </c>
      <c r="S17" s="142">
        <v>2.7117268223494379E-2</v>
      </c>
    </row>
    <row r="18" spans="2:19" s="48" customFormat="1" x14ac:dyDescent="0.25">
      <c r="B18" s="222" t="s">
        <v>11</v>
      </c>
      <c r="C18" s="363">
        <f>'Ingreso estructural no oil'!BO19</f>
        <v>3157.8052101945659</v>
      </c>
      <c r="D18" s="165">
        <v>1369.1058218196899</v>
      </c>
      <c r="E18" s="165">
        <f t="shared" si="2"/>
        <v>3157.8052101945659</v>
      </c>
      <c r="F18" s="66">
        <f>'Gasto estructural'!BF20</f>
        <v>4719.5010949804773</v>
      </c>
      <c r="G18" s="230">
        <f t="shared" si="3"/>
        <v>-1561.6958847859114</v>
      </c>
      <c r="H18" s="163">
        <v>-184.9</v>
      </c>
      <c r="I18" s="48">
        <v>-1415</v>
      </c>
      <c r="J18" s="66">
        <f>'Gasto estructural'!BH20</f>
        <v>3895.3053551746516</v>
      </c>
      <c r="K18" s="230">
        <f>G18+'Gasto estructural'!L20</f>
        <v>-737.50014498008591</v>
      </c>
      <c r="L18" s="165">
        <f>H18+'Gasto estructural'!I20</f>
        <v>637.6</v>
      </c>
      <c r="M18" s="66">
        <f>'Datos CBE'!D16</f>
        <v>1176.9560000000001</v>
      </c>
      <c r="O18" s="364">
        <f>H18/'Ingreso estructural no oil'!N19</f>
        <v>-6.4765965957761318E-3</v>
      </c>
      <c r="P18" s="364">
        <f>G18/'Ingreso estructural no oil'!N19</f>
        <v>-5.4702402655716749E-2</v>
      </c>
      <c r="Q18" s="364">
        <f>L18/'Ingreso estructural no oil'!N19</f>
        <v>2.2333574848387567E-2</v>
      </c>
      <c r="R18" s="364">
        <f>K18/'Ingreso estructural no oil'!N19</f>
        <v>-2.5832833576865482E-2</v>
      </c>
      <c r="S18" s="364">
        <v>2.2123580831403405E-2</v>
      </c>
    </row>
    <row r="19" spans="2:19" x14ac:dyDescent="0.25">
      <c r="B19" s="1" t="s">
        <v>12</v>
      </c>
      <c r="C19" s="141">
        <f>'Ingreso estructural no oil'!BO20</f>
        <v>3240.6939393101975</v>
      </c>
      <c r="D19" s="180">
        <v>1391.3358583861441</v>
      </c>
      <c r="E19" s="17">
        <f t="shared" si="2"/>
        <v>3240.6939393101975</v>
      </c>
      <c r="F19" s="181">
        <f>'Gasto estructural'!BF21</f>
        <v>4878.8909322369673</v>
      </c>
      <c r="G19" s="55">
        <f t="shared" si="3"/>
        <v>-1638.1969929267698</v>
      </c>
      <c r="H19" s="163">
        <v>-141.50504678512664</v>
      </c>
      <c r="I19" s="126">
        <v>-1435</v>
      </c>
      <c r="J19" s="12">
        <f>'Gasto estructural'!BH21</f>
        <v>4078.7688507080925</v>
      </c>
      <c r="K19" s="55">
        <f>G19+'Gasto estructural'!L21</f>
        <v>-838.07491139789499</v>
      </c>
      <c r="L19" s="165">
        <f>H19+'Gasto estructural'!I21</f>
        <v>656.39495321487345</v>
      </c>
      <c r="M19" s="66">
        <f>'Datos CBE'!D17</f>
        <v>1228.077</v>
      </c>
      <c r="O19" s="142">
        <f>H19/'Ingreso estructural no oil'!N20</f>
        <v>-4.7448575470245263E-3</v>
      </c>
      <c r="P19" s="142">
        <f>G19/'Ingreso estructural no oil'!N20</f>
        <v>-5.4930983325313293E-2</v>
      </c>
      <c r="Q19" s="142">
        <f>L19/'Ingreso estructural no oil'!N20</f>
        <v>2.2009819567211108E-2</v>
      </c>
      <c r="R19" s="142">
        <f>K19/'Ingreso estructural no oil'!N20</f>
        <v>-2.8101796781541941E-2</v>
      </c>
      <c r="S19" s="142">
        <v>1.8551593447804837E-2</v>
      </c>
    </row>
    <row r="20" spans="2:19" x14ac:dyDescent="0.25">
      <c r="B20" s="1" t="s">
        <v>13</v>
      </c>
      <c r="C20" s="141">
        <f>'Ingreso estructural no oil'!BO21</f>
        <v>3179.1279913896415</v>
      </c>
      <c r="D20" s="180">
        <v>1420.0450856328519</v>
      </c>
      <c r="E20" s="17">
        <f t="shared" si="2"/>
        <v>3179.1279913896415</v>
      </c>
      <c r="F20" s="181">
        <f>'Gasto estructural'!BF22</f>
        <v>4851.5828981749246</v>
      </c>
      <c r="G20" s="55">
        <f t="shared" si="3"/>
        <v>-1672.4549067852831</v>
      </c>
      <c r="H20" s="163">
        <v>-166.2399961878013</v>
      </c>
      <c r="I20" s="126">
        <v>-1216</v>
      </c>
      <c r="J20" s="12">
        <f>'Gasto estructural'!BH22</f>
        <v>4039.906835204426</v>
      </c>
      <c r="K20" s="55">
        <f>G20+'Gasto estructural'!L22</f>
        <v>-860.77884381478475</v>
      </c>
      <c r="L20" s="165">
        <f>H20+'Gasto estructural'!I22</f>
        <v>642.96000381219869</v>
      </c>
      <c r="M20" s="66">
        <f>'Datos CBE'!D18</f>
        <v>1353.8219999999999</v>
      </c>
      <c r="O20" s="142">
        <f>H20/'Ingreso estructural no oil'!N21</f>
        <v>-5.4147588855042728E-3</v>
      </c>
      <c r="P20" s="142">
        <f>G20/'Ingreso estructural no oil'!N21</f>
        <v>-5.4475097899366755E-2</v>
      </c>
      <c r="Q20" s="142">
        <f>L20/'Ingreso estructural no oil'!N21</f>
        <v>2.0942453522032955E-2</v>
      </c>
      <c r="R20" s="142">
        <f>K20/'Ingreso estructural no oil'!N21</f>
        <v>-2.8037235321725893E-2</v>
      </c>
      <c r="S20" s="142">
        <v>1.8216388433840092E-2</v>
      </c>
    </row>
    <row r="21" spans="2:19" x14ac:dyDescent="0.25">
      <c r="B21" s="1" t="s">
        <v>14</v>
      </c>
      <c r="C21" s="141">
        <f>'Ingreso estructural no oil'!BO22</f>
        <v>3141.3555004326781</v>
      </c>
      <c r="D21" s="180">
        <v>1451.5963122313051</v>
      </c>
      <c r="E21" s="17">
        <f t="shared" si="2"/>
        <v>3141.3555004326781</v>
      </c>
      <c r="F21" s="181">
        <f>'Gasto estructural'!BF23</f>
        <v>5035.2561114317186</v>
      </c>
      <c r="G21" s="55">
        <f t="shared" si="3"/>
        <v>-1893.9006109990405</v>
      </c>
      <c r="H21" s="163">
        <v>-137.03595736146622</v>
      </c>
      <c r="I21" s="126">
        <v>-1257.5</v>
      </c>
      <c r="J21" s="12">
        <f>'Gasto estructural'!BH23</f>
        <v>4232.2620902743065</v>
      </c>
      <c r="K21" s="55">
        <f>G21+'Gasto estructural'!L23</f>
        <v>-1090.9065898416284</v>
      </c>
      <c r="L21" s="165">
        <f>H21+'Gasto estructural'!I23</f>
        <v>668.06404263853381</v>
      </c>
      <c r="M21" s="66">
        <f>'Datos CBE'!D19</f>
        <v>1328.643</v>
      </c>
      <c r="O21" s="142">
        <f>H21/'Ingreso estructural no oil'!N22</f>
        <v>-4.3465384912171169E-3</v>
      </c>
      <c r="P21" s="142">
        <f>G21/'Ingreso estructural no oil'!N22</f>
        <v>-6.0071181774088989E-2</v>
      </c>
      <c r="Q21" s="142">
        <f>L21/'Ingreso estructural no oil'!N22</f>
        <v>2.118981128629692E-2</v>
      </c>
      <c r="R21" s="142">
        <f>K21/'Ingreso estructural no oil'!N22</f>
        <v>-3.460162992521533E-2</v>
      </c>
      <c r="S21" s="142">
        <v>1.1440583097573205E-2</v>
      </c>
    </row>
    <row r="22" spans="2:19" s="48" customFormat="1" x14ac:dyDescent="0.25">
      <c r="B22" s="222" t="s">
        <v>15</v>
      </c>
      <c r="C22" s="363">
        <f>'Ingreso estructural no oil'!BO23</f>
        <v>3238.0261479485744</v>
      </c>
      <c r="D22" s="165">
        <v>1482.5420933179139</v>
      </c>
      <c r="E22" s="165">
        <f t="shared" si="2"/>
        <v>3238.0261479485744</v>
      </c>
      <c r="F22" s="66">
        <f>'Gasto estructural'!BF24</f>
        <v>5016.7050075816578</v>
      </c>
      <c r="G22" s="230">
        <f t="shared" si="3"/>
        <v>-1778.6788596330834</v>
      </c>
      <c r="H22" s="163">
        <v>-108.499709086156</v>
      </c>
      <c r="I22" s="48">
        <v>-1495.2</v>
      </c>
      <c r="J22" s="66">
        <f>'Gasto estructural'!BH24</f>
        <v>4178.320991437482</v>
      </c>
      <c r="K22" s="230">
        <f>G22+'Gasto estructural'!L24</f>
        <v>-940.29484348890799</v>
      </c>
      <c r="L22" s="165">
        <f>H22+'Gasto estructural'!I24</f>
        <v>718.35529091384399</v>
      </c>
      <c r="M22" s="66">
        <f>'Datos CBE'!D20</f>
        <v>1491.7089999999998</v>
      </c>
      <c r="O22" s="364">
        <f>H22/'Ingreso estructural no oil'!N23</f>
        <v>-3.3453636969271198E-3</v>
      </c>
      <c r="P22" s="364">
        <f>G22/'Ingreso estructural no oil'!N23</f>
        <v>-5.4841876864234619E-2</v>
      </c>
      <c r="Q22" s="364">
        <f>L22/'Ingreso estructural no oil'!N23</f>
        <v>2.2148996821829494E-2</v>
      </c>
      <c r="R22" s="364">
        <f>K22/'Ingreso estructural no oil'!N23</f>
        <v>-2.8992043023062138E-2</v>
      </c>
      <c r="S22" s="364">
        <v>1.6719008618035033E-2</v>
      </c>
    </row>
    <row r="23" spans="2:19" x14ac:dyDescent="0.25">
      <c r="B23" s="1" t="s">
        <v>16</v>
      </c>
      <c r="C23" s="141">
        <f>'Ingreso estructural no oil'!BO24</f>
        <v>3303.4018597605755</v>
      </c>
      <c r="D23" s="180">
        <v>1509.50437041948</v>
      </c>
      <c r="E23" s="17">
        <f t="shared" si="2"/>
        <v>3303.4018597605755</v>
      </c>
      <c r="F23" s="181">
        <f>'Gasto estructural'!BF25</f>
        <v>5246.0575370993083</v>
      </c>
      <c r="G23" s="55">
        <f t="shared" si="3"/>
        <v>-1942.6556773387329</v>
      </c>
      <c r="H23" s="163">
        <v>-337.04811954309423</v>
      </c>
      <c r="I23" s="126">
        <v>-1547.6</v>
      </c>
      <c r="J23" s="12">
        <f>'Gasto estructural'!BH25</f>
        <v>4368.1302109556063</v>
      </c>
      <c r="K23" s="55">
        <f>G23+'Gasto estructural'!L25</f>
        <v>-1064.7283511950309</v>
      </c>
      <c r="L23" s="165">
        <f>H23+'Gasto estructural'!I25</f>
        <v>523.05588045690581</v>
      </c>
      <c r="M23" s="66">
        <f>'Datos CBE'!D21</f>
        <v>1647.386</v>
      </c>
      <c r="O23" s="142">
        <f>H23/'Ingreso estructural no oil'!N24</f>
        <v>-1.0130477842415723E-2</v>
      </c>
      <c r="P23" s="142">
        <f>G23/'Ingreso estructural no oil'!N24</f>
        <v>-5.8389378707709702E-2</v>
      </c>
      <c r="Q23" s="142">
        <f>L23/'Ingreso estructural no oil'!N24</f>
        <v>1.5721215162087375E-2</v>
      </c>
      <c r="R23" s="142">
        <f>K23/'Ingreso estructural no oil'!N24</f>
        <v>-3.2001979374918263E-2</v>
      </c>
      <c r="S23" s="142">
        <v>1.3368585381631605E-2</v>
      </c>
    </row>
    <row r="24" spans="2:19" x14ac:dyDescent="0.25">
      <c r="B24" s="1" t="s">
        <v>17</v>
      </c>
      <c r="C24" s="141">
        <f>'Ingreso estructural no oil'!BO25</f>
        <v>3371.3568303525362</v>
      </c>
      <c r="D24" s="180">
        <v>1530.5707929540999</v>
      </c>
      <c r="E24" s="17">
        <f t="shared" si="2"/>
        <v>3371.3568303525362</v>
      </c>
      <c r="F24" s="181">
        <f>'Gasto estructural'!BF26</f>
        <v>5332.9174665575711</v>
      </c>
      <c r="G24" s="55">
        <f t="shared" si="3"/>
        <v>-1961.5606362050348</v>
      </c>
      <c r="H24" s="163">
        <v>-317.77277969067006</v>
      </c>
      <c r="I24" s="126">
        <v>-1676.3050467851267</v>
      </c>
      <c r="J24" s="12">
        <f>'Gasto estructural'!BH26</f>
        <v>4478.0798623744959</v>
      </c>
      <c r="K24" s="55">
        <f>G24+'Gasto estructural'!L26</f>
        <v>-1106.7230320219596</v>
      </c>
      <c r="L24" s="165">
        <f>H24+'Gasto estructural'!I26</f>
        <v>537.57722849347317</v>
      </c>
      <c r="M24" s="66">
        <f>'Datos CBE'!D22</f>
        <v>1883.0319999999999</v>
      </c>
      <c r="O24" s="142">
        <f>H24/'Ingreso estructural no oil'!N25</f>
        <v>-9.2517755567668777E-3</v>
      </c>
      <c r="P24" s="142">
        <f>G24/'Ingreso estructural no oil'!N25</f>
        <v>-5.7109733454273767E-2</v>
      </c>
      <c r="Q24" s="142">
        <f>L24/'Ingreso estructural no oil'!N25</f>
        <v>1.565125832140752E-2</v>
      </c>
      <c r="R24" s="142">
        <f>K24/'Ingreso estructural no oil'!N25</f>
        <v>-3.2221617930078231E-2</v>
      </c>
      <c r="S24" s="142">
        <v>1.2340294274171841E-2</v>
      </c>
    </row>
    <row r="25" spans="2:19" x14ac:dyDescent="0.25">
      <c r="B25" s="1" t="s">
        <v>18</v>
      </c>
      <c r="C25" s="141">
        <f>'Ingreso estructural no oil'!BO26</f>
        <v>3476.0163805190191</v>
      </c>
      <c r="D25" s="180">
        <v>1545.5074843642199</v>
      </c>
      <c r="E25" s="17">
        <f t="shared" si="2"/>
        <v>3476.0163805190191</v>
      </c>
      <c r="F25" s="181">
        <f>'Gasto estructural'!BF27</f>
        <v>5385.370361358061</v>
      </c>
      <c r="G25" s="55">
        <f t="shared" si="3"/>
        <v>-1909.3539808390419</v>
      </c>
      <c r="H25" s="163">
        <v>-296.33205584209816</v>
      </c>
      <c r="I25" s="126">
        <v>-1690.4099961878014</v>
      </c>
      <c r="J25" s="12">
        <f>'Gasto estructural'!BH27</f>
        <v>4538.7635885209866</v>
      </c>
      <c r="K25" s="55">
        <f>G25+'Gasto estructural'!L27</f>
        <v>-1062.7472080019675</v>
      </c>
      <c r="L25" s="165">
        <f>H25+'Gasto estructural'!I27</f>
        <v>549.37311485375687</v>
      </c>
      <c r="M25" s="66">
        <f>'Datos CBE'!D23</f>
        <v>2535.8180000000002</v>
      </c>
      <c r="O25" s="142">
        <f>H25/'Ingreso estructural no oil'!N26</f>
        <v>-8.3628767340642608E-3</v>
      </c>
      <c r="P25" s="142">
        <f>G25/'Ingreso estructural no oil'!N26</f>
        <v>-5.3884457211609456E-2</v>
      </c>
      <c r="Q25" s="142">
        <f>L25/'Ingreso estructural no oil'!N26</f>
        <v>1.5504025129765274E-2</v>
      </c>
      <c r="R25" s="142">
        <f>K25/'Ingreso estructural no oil'!N26</f>
        <v>-2.9992110960574629E-2</v>
      </c>
      <c r="S25" s="142">
        <v>1.3624001543995399E-2</v>
      </c>
    </row>
    <row r="26" spans="2:19" s="48" customFormat="1" x14ac:dyDescent="0.25">
      <c r="B26" s="222" t="s">
        <v>19</v>
      </c>
      <c r="C26" s="363">
        <f>'Ingreso estructural no oil'!BO27</f>
        <v>3593.2532177421158</v>
      </c>
      <c r="D26" s="165">
        <v>1554.9424897472597</v>
      </c>
      <c r="E26" s="165">
        <f t="shared" si="2"/>
        <v>3593.2532177421158</v>
      </c>
      <c r="F26" s="66">
        <f>'Gasto estructural'!BF28</f>
        <v>5475.5818440222229</v>
      </c>
      <c r="G26" s="230">
        <f t="shared" si="3"/>
        <v>-1882.3286262801071</v>
      </c>
      <c r="H26" s="163">
        <v>-319.21368830700521</v>
      </c>
      <c r="I26" s="48">
        <v>-1778.0059573614665</v>
      </c>
      <c r="J26" s="66">
        <f>'Gasto estructural'!BH28</f>
        <v>4656.0405516339697</v>
      </c>
      <c r="K26" s="230">
        <f>G26+'Gasto estructural'!L28</f>
        <v>-1062.7873338918539</v>
      </c>
      <c r="L26" s="165">
        <f>H26+'Gasto estructural'!I28</f>
        <v>494.30766328399056</v>
      </c>
      <c r="M26" s="66">
        <f>'Datos CBE'!D24</f>
        <v>2857.68201</v>
      </c>
      <c r="O26" s="364">
        <f>H26/'Ingreso estructural no oil'!N27</f>
        <v>-8.7236730878930378E-3</v>
      </c>
      <c r="P26" s="364">
        <f>G26/'Ingreso estructural no oil'!N27</f>
        <v>-5.1441464389389346E-2</v>
      </c>
      <c r="Q26" s="364">
        <f>L26/'Ingreso estructural no oil'!N27</f>
        <v>1.3508751714878168E-2</v>
      </c>
      <c r="R26" s="364">
        <f>K26/'Ingreso estructural no oil'!N27</f>
        <v>-2.9044522846116604E-2</v>
      </c>
      <c r="S26" s="364">
        <v>1.3449957036151471E-2</v>
      </c>
    </row>
    <row r="27" spans="2:19" x14ac:dyDescent="0.25">
      <c r="B27" s="1" t="s">
        <v>20</v>
      </c>
      <c r="C27" s="141">
        <f>'Ingreso estructural no oil'!BO28</f>
        <v>3692.1920873666149</v>
      </c>
      <c r="D27" s="180">
        <v>1560.8136392280301</v>
      </c>
      <c r="E27" s="17">
        <f t="shared" si="2"/>
        <v>3692.1920873666149</v>
      </c>
      <c r="F27" s="181">
        <f>'Gasto estructural'!BF29</f>
        <v>5616.029477535345</v>
      </c>
      <c r="G27" s="55">
        <f t="shared" si="3"/>
        <v>-1923.8373901687301</v>
      </c>
      <c r="H27" s="163">
        <v>-340.06053968258107</v>
      </c>
      <c r="I27" s="126">
        <v>-1800.0697090861563</v>
      </c>
      <c r="J27" s="12">
        <f>'Gasto estructural'!BH29</f>
        <v>4800.3104211008686</v>
      </c>
      <c r="K27" s="55">
        <f>G27+'Gasto estructural'!L29</f>
        <v>-1108.1183337342536</v>
      </c>
      <c r="L27" s="165">
        <f>H27+'Gasto estructural'!I29</f>
        <v>476.3799899084147</v>
      </c>
      <c r="M27" s="66">
        <f>'Datos CBE'!D25</f>
        <v>2906.151077</v>
      </c>
      <c r="O27" s="142">
        <f>H27/'Ingreso estructural no oil'!N28</f>
        <v>-9.0440194510358861E-3</v>
      </c>
      <c r="P27" s="142">
        <f>G27/'Ingreso estructural no oil'!N28</f>
        <v>-5.1165074293997394E-2</v>
      </c>
      <c r="Q27" s="142">
        <f>L27/'Ingreso estructural no oil'!N28</f>
        <v>1.2669479084040489E-2</v>
      </c>
      <c r="R27" s="142">
        <f>K27/'Ingreso estructural no oil'!N28</f>
        <v>-2.9470763569618055E-2</v>
      </c>
      <c r="S27" s="142">
        <v>1.2040027502378415E-2</v>
      </c>
    </row>
    <row r="28" spans="2:19" x14ac:dyDescent="0.25">
      <c r="B28" s="1" t="s">
        <v>21</v>
      </c>
      <c r="C28" s="141">
        <f>'Ingreso estructural no oil'!BO29</f>
        <v>3914.8667030224169</v>
      </c>
      <c r="D28" s="180">
        <v>1565.84008083096</v>
      </c>
      <c r="E28" s="17">
        <f t="shared" si="2"/>
        <v>3914.8667030224169</v>
      </c>
      <c r="F28" s="181">
        <f>'Gasto estructural'!BF30</f>
        <v>5700.8053792918017</v>
      </c>
      <c r="G28" s="55">
        <f t="shared" si="3"/>
        <v>-1785.9386762693848</v>
      </c>
      <c r="H28" s="163">
        <v>-91.42756997338779</v>
      </c>
      <c r="I28" s="126">
        <v>-1894.7802138830946</v>
      </c>
      <c r="J28" s="12">
        <f>'Gasto estructural'!BH30</f>
        <v>4892.7441466268228</v>
      </c>
      <c r="K28" s="55">
        <f>G28+'Gasto estructural'!L30</f>
        <v>-977.87744360440558</v>
      </c>
      <c r="L28" s="165">
        <f>H28+'Gasto estructural'!I30</f>
        <v>714.25595961760791</v>
      </c>
      <c r="M28" s="66">
        <f>'Datos CBE'!D26</f>
        <v>2933.4960770000002</v>
      </c>
      <c r="O28" s="142">
        <f>H28/'Ingreso estructural no oil'!N29</f>
        <v>-2.3575947091669315E-3</v>
      </c>
      <c r="P28" s="142">
        <f>G28/'Ingreso estructural no oil'!N29</f>
        <v>-4.6053062279735407E-2</v>
      </c>
      <c r="Q28" s="142">
        <f>L28/'Ingreso estructural no oil'!N29</f>
        <v>1.8418143147363199E-2</v>
      </c>
      <c r="R28" s="142">
        <f>K28/'Ingreso estructural no oil'!N29</f>
        <v>-2.5216011843325649E-2</v>
      </c>
      <c r="S28" s="142">
        <v>1.5160200906730547E-2</v>
      </c>
    </row>
    <row r="29" spans="2:19" x14ac:dyDescent="0.25">
      <c r="B29" s="1" t="s">
        <v>22</v>
      </c>
      <c r="C29" s="141">
        <f>'Ingreso estructural no oil'!BO30</f>
        <v>4152.4848113488961</v>
      </c>
      <c r="D29" s="180">
        <v>1573.1174873831399</v>
      </c>
      <c r="E29" s="17">
        <f t="shared" si="2"/>
        <v>4152.4848113488961</v>
      </c>
      <c r="F29" s="181">
        <f>'Gasto estructural'!BF31</f>
        <v>5875.1509440559639</v>
      </c>
      <c r="G29" s="55">
        <f t="shared" si="3"/>
        <v>-1722.6661327070678</v>
      </c>
      <c r="H29" s="163">
        <v>-133.51395053724036</v>
      </c>
      <c r="I29" s="126">
        <v>-1937.1698740306704</v>
      </c>
      <c r="J29" s="12">
        <f>'Gasto estructural'!BH31</f>
        <v>5048.8148192364915</v>
      </c>
      <c r="K29" s="55">
        <f>G29+'Gasto estructural'!L31</f>
        <v>-896.33000788759512</v>
      </c>
      <c r="L29" s="165">
        <f>H29+'Gasto estructural'!I31</f>
        <v>696.53365234767011</v>
      </c>
      <c r="M29" s="66">
        <f>'Datos CBE'!D27</f>
        <v>2868.238077</v>
      </c>
      <c r="O29" s="142">
        <f>H29/'Ingreso estructural no oil'!N30</f>
        <v>-3.3197128402136377E-3</v>
      </c>
      <c r="P29" s="142">
        <f>G29/'Ingreso estructural no oil'!N30</f>
        <v>-4.2832654244274793E-2</v>
      </c>
      <c r="Q29" s="142">
        <f>L29/'Ingreso estructural no oil'!N30</f>
        <v>1.7318727369201068E-2</v>
      </c>
      <c r="R29" s="142">
        <f>K29/'Ingreso estructural no oil'!N30</f>
        <v>-2.2286496836323357E-2</v>
      </c>
      <c r="S29" s="142">
        <v>1.6827541348400189E-2</v>
      </c>
    </row>
    <row r="30" spans="2:19" s="48" customFormat="1" x14ac:dyDescent="0.25">
      <c r="B30" s="222" t="s">
        <v>23</v>
      </c>
      <c r="C30" s="363">
        <f>'Ingreso estructural no oil'!BO31</f>
        <v>4268.6518174087669</v>
      </c>
      <c r="D30" s="165">
        <v>1585.7130211255198</v>
      </c>
      <c r="E30" s="165">
        <f t="shared" si="2"/>
        <v>4268.6518174087669</v>
      </c>
      <c r="F30" s="66">
        <f>'Gasto estructural'!BF32</f>
        <v>6186.8797534564856</v>
      </c>
      <c r="G30" s="230">
        <f t="shared" si="3"/>
        <v>-1918.2279360477187</v>
      </c>
      <c r="H30" s="163">
        <v>-190.2942771010803</v>
      </c>
      <c r="I30" s="48">
        <v>-1893.0284651820982</v>
      </c>
      <c r="J30" s="66">
        <f>'Gasto estructural'!BH32</f>
        <v>5334.8513565026014</v>
      </c>
      <c r="K30" s="230">
        <f>G30+'Gasto estructural'!L32</f>
        <v>-1066.1995390938341</v>
      </c>
      <c r="L30" s="165">
        <f>H30+'Gasto estructural'!I32</f>
        <v>664.95014488868947</v>
      </c>
      <c r="M30" s="66">
        <f>'Datos CBE'!D28</f>
        <v>3084.6600000000003</v>
      </c>
      <c r="O30" s="364">
        <f>H30/'Ingreso estructural no oil'!N31</f>
        <v>-4.5846215676451458E-3</v>
      </c>
      <c r="P30" s="364">
        <f>G30/'Ingreso estructural no oil'!N31</f>
        <v>-4.6214470036807419E-2</v>
      </c>
      <c r="Q30" s="364">
        <f>L30/'Ingreso estructural no oil'!N31</f>
        <v>1.6020160049511775E-2</v>
      </c>
      <c r="R30" s="364">
        <f>K30/'Ingreso estructural no oil'!N31</f>
        <v>-2.5687169770988113E-2</v>
      </c>
      <c r="S30" s="364">
        <v>1.2517649752701971E-2</v>
      </c>
    </row>
    <row r="31" spans="2:19" x14ac:dyDescent="0.25">
      <c r="B31" s="1" t="s">
        <v>24</v>
      </c>
      <c r="C31" s="141">
        <f>'Ingreso estructural no oil'!BO32</f>
        <v>4552.582980584677</v>
      </c>
      <c r="D31" s="180">
        <v>1606.7484634529999</v>
      </c>
      <c r="E31" s="17">
        <f t="shared" si="2"/>
        <v>4552.582980584677</v>
      </c>
      <c r="F31" s="181">
        <f>'Gasto estructural'!BF33</f>
        <v>6267.5004534485088</v>
      </c>
      <c r="G31" s="55">
        <f t="shared" si="3"/>
        <v>-1714.9174728638318</v>
      </c>
      <c r="H31" s="163">
        <v>51.402066490160308</v>
      </c>
      <c r="I31" s="126">
        <v>-1877.147097647005</v>
      </c>
      <c r="J31" s="12">
        <f>'Gasto estructural'!BH33</f>
        <v>5411.3214532336751</v>
      </c>
      <c r="K31" s="55">
        <f>G31+'Gasto estructural'!L33</f>
        <v>-858.7384726489978</v>
      </c>
      <c r="L31" s="165">
        <f>H31+'Gasto estructural'!I33</f>
        <v>907.66231047993017</v>
      </c>
      <c r="M31" s="66">
        <f>'Datos CBE'!D29</f>
        <v>3147.2349330000002</v>
      </c>
      <c r="O31" s="142">
        <f>H31/'Ingreso estructural no oil'!N32</f>
        <v>1.1964691540809762E-3</v>
      </c>
      <c r="P31" s="142">
        <f>G31/'Ingreso estructural no oil'!N32</f>
        <v>-3.99175752684739E-2</v>
      </c>
      <c r="Q31" s="142">
        <f>L31/'Ingreso estructural no oil'!N32</f>
        <v>2.1127359870229984E-2</v>
      </c>
      <c r="R31" s="142">
        <f>K31/'Ingreso estructural no oil'!N32</f>
        <v>-1.9988575637203559E-2</v>
      </c>
      <c r="S31" s="142">
        <v>1.7409702590357009E-2</v>
      </c>
    </row>
    <row r="32" spans="2:19" x14ac:dyDescent="0.25">
      <c r="B32" s="1" t="s">
        <v>25</v>
      </c>
      <c r="C32" s="141">
        <f>'Ingreso estructural no oil'!BO33</f>
        <v>4784.8470568863231</v>
      </c>
      <c r="D32" s="180">
        <v>1638.8346179871601</v>
      </c>
      <c r="E32" s="17">
        <f t="shared" si="2"/>
        <v>4784.8470568863231</v>
      </c>
      <c r="F32" s="181">
        <f>'Gasto estructural'!BF34</f>
        <v>6534.4434995160691</v>
      </c>
      <c r="G32" s="55">
        <f t="shared" si="3"/>
        <v>-1749.596442629746</v>
      </c>
      <c r="H32" s="163">
        <v>138.29499452248317</v>
      </c>
      <c r="I32" s="126">
        <v>-1909.734854682581</v>
      </c>
      <c r="J32" s="12">
        <f>'Gasto estructural'!BH34</f>
        <v>5623.5744780181849</v>
      </c>
      <c r="K32" s="55">
        <f>G32+'Gasto estructural'!L34</f>
        <v>-838.72742113186223</v>
      </c>
      <c r="L32" s="165">
        <f>H32+'Gasto estructural'!I34</f>
        <v>1053.2822344201813</v>
      </c>
      <c r="M32" s="66">
        <f>'Datos CBE'!D30</f>
        <v>4049.8549330000001</v>
      </c>
      <c r="O32" s="142">
        <f>H32/'Ingreso estructural no oil'!N33</f>
        <v>3.1100149597017689E-3</v>
      </c>
      <c r="P32" s="142">
        <f>G32/'Ingreso estructural no oil'!N33</f>
        <v>-3.9345394450519315E-2</v>
      </c>
      <c r="Q32" s="142">
        <f>L32/'Ingreso estructural no oil'!N33</f>
        <v>2.3686493622893358E-2</v>
      </c>
      <c r="R32" s="142">
        <f>K32/'Ingreso estructural no oil'!N33</f>
        <v>-1.8861527388166679E-2</v>
      </c>
      <c r="S32" s="142">
        <v>1.7993022734179295E-2</v>
      </c>
    </row>
    <row r="33" spans="2:19" x14ac:dyDescent="0.25">
      <c r="B33" s="1" t="s">
        <v>26</v>
      </c>
      <c r="C33" s="141">
        <f>'Ingreso estructural no oil'!BO34</f>
        <v>4929.4726068169111</v>
      </c>
      <c r="D33" s="180">
        <v>1683.73474770752</v>
      </c>
      <c r="E33" s="17">
        <f t="shared" si="2"/>
        <v>4929.4726068169111</v>
      </c>
      <c r="F33" s="181">
        <f>'Gasto estructural'!BF35</f>
        <v>6650.0938555062557</v>
      </c>
      <c r="G33" s="55">
        <f t="shared" si="3"/>
        <v>-1720.6212486893446</v>
      </c>
      <c r="H33" s="163">
        <v>204.72183133426776</v>
      </c>
      <c r="I33" s="126">
        <v>-1700.4698849733877</v>
      </c>
      <c r="J33" s="12">
        <f>'Gasto estructural'!BH35</f>
        <v>5708.8661774958073</v>
      </c>
      <c r="K33" s="55">
        <f>G33+'Gasto estructural'!L35</f>
        <v>-779.39357067889637</v>
      </c>
      <c r="L33" s="165">
        <f>H33+'Gasto estructural'!I35</f>
        <v>1151.5789979380511</v>
      </c>
      <c r="M33" s="66">
        <f>'Datos CBE'!D31</f>
        <v>4159.4719329999998</v>
      </c>
      <c r="O33" s="142">
        <f>H33/'Ingreso estructural no oil'!N34</f>
        <v>4.4734848387382965E-3</v>
      </c>
      <c r="P33" s="142">
        <f>G33/'Ingreso estructural no oil'!N34</f>
        <v>-3.7598203469833523E-2</v>
      </c>
      <c r="Q33" s="142">
        <f>L33/'Ingreso estructural no oil'!N34</f>
        <v>2.516376076899135E-2</v>
      </c>
      <c r="R33" s="142">
        <f>K33/'Ingreso estructural no oil'!N34</f>
        <v>-1.7030940467454365E-2</v>
      </c>
      <c r="S33" s="142">
        <v>1.9761184747440163E-2</v>
      </c>
    </row>
    <row r="34" spans="2:19" s="48" customFormat="1" x14ac:dyDescent="0.25">
      <c r="B34" s="222" t="s">
        <v>27</v>
      </c>
      <c r="C34" s="363">
        <f>'Ingreso estructural no oil'!BO35</f>
        <v>5126.0714829881717</v>
      </c>
      <c r="D34" s="165">
        <v>1743.9133113381597</v>
      </c>
      <c r="E34" s="165">
        <f t="shared" si="2"/>
        <v>5126.0714829881717</v>
      </c>
      <c r="F34" s="66">
        <f>'Gasto estructural'!BF36</f>
        <v>6944.3938614934159</v>
      </c>
      <c r="G34" s="230">
        <f t="shared" si="3"/>
        <v>-1818.3223785052442</v>
      </c>
      <c r="H34" s="163">
        <v>-87.685119841717324</v>
      </c>
      <c r="I34" s="48">
        <v>-1702.9199505372405</v>
      </c>
      <c r="J34" s="66">
        <f>'Gasto estructural'!BH36</f>
        <v>6001.6928128170985</v>
      </c>
      <c r="K34" s="230">
        <f>G34+'Gasto estructural'!L36</f>
        <v>-875.6213298289266</v>
      </c>
      <c r="L34" s="165">
        <f>H34+'Gasto estructural'!I36</f>
        <v>854.07930325720667</v>
      </c>
      <c r="M34" s="66">
        <f>'Datos CBE'!D32</f>
        <v>4565.451</v>
      </c>
      <c r="O34" s="364">
        <f>H34/'Ingreso estructural no oil'!N35</f>
        <v>-1.873531844927912E-3</v>
      </c>
      <c r="P34" s="364">
        <f>G34/'Ingreso estructural no oil'!N35</f>
        <v>-3.8851345434939635E-2</v>
      </c>
      <c r="Q34" s="364">
        <f>L34/'Ingreso estructural no oil'!N35</f>
        <v>1.8248760743381349E-2</v>
      </c>
      <c r="R34" s="364">
        <f>K34/'Ingreso estructural no oil'!N35</f>
        <v>-1.8709040353641959E-2</v>
      </c>
      <c r="S34" s="364">
        <v>1.8551755005191177E-2</v>
      </c>
    </row>
    <row r="35" spans="2:19" x14ac:dyDescent="0.25">
      <c r="B35" s="1" t="s">
        <v>28</v>
      </c>
      <c r="C35" s="141">
        <f>'Ingreso estructural no oil'!BO36</f>
        <v>5305.5157388807638</v>
      </c>
      <c r="D35" s="180">
        <v>1823.3621352103801</v>
      </c>
      <c r="E35" s="17">
        <f t="shared" si="2"/>
        <v>5305.5157388807638</v>
      </c>
      <c r="F35" s="181">
        <f>'Gasto estructural'!BF37</f>
        <v>7233.0659689932982</v>
      </c>
      <c r="G35" s="55">
        <f t="shared" si="3"/>
        <v>-1927.5502301125343</v>
      </c>
      <c r="H35" s="163">
        <v>-235.59969717413162</v>
      </c>
      <c r="I35" s="126">
        <v>-1750.8483269510805</v>
      </c>
      <c r="J35" s="12">
        <f>'Gasto estructural'!BH37</f>
        <v>6280.8155641991416</v>
      </c>
      <c r="K35" s="55">
        <f>G35+'Gasto estructural'!L37</f>
        <v>-975.29982531837777</v>
      </c>
      <c r="L35" s="165">
        <f>H35+'Gasto estructural'!I37</f>
        <v>716.83972592479245</v>
      </c>
      <c r="M35" s="66">
        <f>'Datos CBE'!D33</f>
        <v>4481.1019999999999</v>
      </c>
      <c r="O35" s="142">
        <f>H35/'Ingreso estructural no oil'!N36</f>
        <v>-4.9640112341477307E-3</v>
      </c>
      <c r="P35" s="142">
        <f>G35/'Ingreso estructural no oil'!N36</f>
        <v>-4.0612874767791733E-2</v>
      </c>
      <c r="Q35" s="142">
        <f>L35/'Ingreso estructural no oil'!N36</f>
        <v>1.5103586699196977E-2</v>
      </c>
      <c r="R35" s="142">
        <f>K35/'Ingreso estructural no oil'!N36</f>
        <v>-2.0549259390450197E-2</v>
      </c>
      <c r="S35" s="142">
        <v>1.7866563555393265E-2</v>
      </c>
    </row>
    <row r="36" spans="2:19" x14ac:dyDescent="0.25">
      <c r="B36" s="1" t="s">
        <v>29</v>
      </c>
      <c r="C36" s="141">
        <f>'Ingreso estructural no oil'!BO37</f>
        <v>5382.5314282952695</v>
      </c>
      <c r="D36" s="180">
        <v>1926.5766929916097</v>
      </c>
      <c r="E36" s="17">
        <f t="shared" si="2"/>
        <v>5382.5314282952695</v>
      </c>
      <c r="F36" s="181">
        <f>'Gasto estructural'!BF38</f>
        <v>7541.88458608579</v>
      </c>
      <c r="G36" s="55">
        <f t="shared" si="3"/>
        <v>-2159.3531577905205</v>
      </c>
      <c r="H36" s="163">
        <v>-236.08724832391573</v>
      </c>
      <c r="I36" s="126">
        <v>-1716.6324480398398</v>
      </c>
      <c r="J36" s="12">
        <f>'Gasto estructural'!BH38</f>
        <v>6636.1546628308197</v>
      </c>
      <c r="K36" s="55">
        <f>G36+'Gasto estructural'!L38</f>
        <v>-1253.62323453555</v>
      </c>
      <c r="L36" s="165">
        <f>H36+'Gasto estructural'!I38</f>
        <v>680.36617068293685</v>
      </c>
      <c r="M36" s="66">
        <f>'Datos CBE'!D34</f>
        <v>3764.5430000000006</v>
      </c>
      <c r="O36" s="142">
        <f>H36/'Ingreso estructural no oil'!N37</f>
        <v>-4.8963074336186452E-3</v>
      </c>
      <c r="P36" s="142">
        <f>G36/'Ingreso estructural no oil'!N37</f>
        <v>-4.4783684817197245E-2</v>
      </c>
      <c r="Q36" s="142">
        <f>L36/'Ingreso estructural no oil'!N37</f>
        <v>1.4110384879944638E-2</v>
      </c>
      <c r="R36" s="142">
        <f>K36/'Ingreso estructural no oil'!N37</f>
        <v>-2.5999391351251008E-2</v>
      </c>
      <c r="S36" s="142">
        <v>1.3947923548856043E-2</v>
      </c>
    </row>
    <row r="37" spans="2:19" x14ac:dyDescent="0.25">
      <c r="B37" s="1" t="s">
        <v>30</v>
      </c>
      <c r="C37" s="141">
        <f>'Ingreso estructural no oil'!BO38</f>
        <v>6267.8926756193605</v>
      </c>
      <c r="D37" s="179">
        <v>2056.9213301874602</v>
      </c>
      <c r="E37" s="17">
        <f t="shared" si="2"/>
        <v>6267.8926756193605</v>
      </c>
      <c r="F37" s="181">
        <f>'Gasto estructural'!BF39</f>
        <v>8553.1666244920125</v>
      </c>
      <c r="G37" s="55">
        <f t="shared" si="3"/>
        <v>-2285.273948872652</v>
      </c>
      <c r="H37" s="163">
        <v>-304.75002449461181</v>
      </c>
      <c r="I37" s="126">
        <v>-1770.8855218375168</v>
      </c>
      <c r="J37" s="12">
        <f>'Gasto estructural'!BH39</f>
        <v>7684.8571941539485</v>
      </c>
      <c r="K37" s="55">
        <f>G37+'Gasto estructural'!L39</f>
        <v>-1416.9645185345876</v>
      </c>
      <c r="L37" s="165">
        <f>H37+'Gasto estructural'!I39</f>
        <v>578.28423200052885</v>
      </c>
      <c r="M37" s="66">
        <f>'Datos CBE'!D35</f>
        <v>3199.3810000000003</v>
      </c>
      <c r="O37" s="142">
        <f>H37/'Ingreso estructural no oil'!N38</f>
        <v>-6.1942684737128955E-3</v>
      </c>
      <c r="P37" s="142">
        <f>G37/'Ingreso estructural no oil'!N38</f>
        <v>-4.6449874446358001E-2</v>
      </c>
      <c r="Q37" s="142">
        <f>L37/'Ingreso estructural no oil'!N38</f>
        <v>1.1754052499475625E-2</v>
      </c>
      <c r="R37" s="142">
        <f>K37/'Ingreso estructural no oil'!N38</f>
        <v>-2.8800846398894225E-2</v>
      </c>
      <c r="S37" s="142">
        <v>1.3002771788822493E-2</v>
      </c>
    </row>
    <row r="38" spans="2:19" s="48" customFormat="1" x14ac:dyDescent="0.25">
      <c r="B38" s="222" t="s">
        <v>31</v>
      </c>
      <c r="C38" s="363">
        <f>'Ingreso estructural no oil'!BO39</f>
        <v>6658.9655429866634</v>
      </c>
      <c r="D38" s="165">
        <v>2214.94758863062</v>
      </c>
      <c r="E38" s="165">
        <f t="shared" si="2"/>
        <v>6658.9655429866634</v>
      </c>
      <c r="F38" s="66">
        <f>'Gasto estructural'!BF40</f>
        <v>8773.3375661945665</v>
      </c>
      <c r="G38" s="230">
        <f t="shared" si="3"/>
        <v>-2114.3720232079031</v>
      </c>
      <c r="H38" s="163">
        <v>-63.767370466878248</v>
      </c>
      <c r="I38" s="48">
        <v>-1652.5875475457321</v>
      </c>
      <c r="J38" s="66">
        <f>'Gasto estructural'!BH40</f>
        <v>7849.5412785345816</v>
      </c>
      <c r="K38" s="230">
        <f>G38+'Gasto estructural'!L40</f>
        <v>-1190.5757355479186</v>
      </c>
      <c r="L38" s="165">
        <f>H38+'Gasto estructural'!I40</f>
        <v>850.7266295331217</v>
      </c>
      <c r="M38" s="66">
        <f>'Datos CBE'!D36</f>
        <v>2637.123</v>
      </c>
      <c r="O38" s="364">
        <f>H38/'Ingreso estructural no oil'!N39</f>
        <v>-1.2501499617769709E-3</v>
      </c>
      <c r="P38" s="364">
        <f>G38/'Ingreso estructural no oil'!N39</f>
        <v>-4.1451953948275444E-2</v>
      </c>
      <c r="Q38" s="364">
        <f>L38/'Ingreso estructural no oil'!N39</f>
        <v>1.6678371016504441E-2</v>
      </c>
      <c r="R38" s="364">
        <f>K38/'Ingreso estructural no oil'!N39</f>
        <v>-2.3341062982374605E-2</v>
      </c>
      <c r="S38" s="364">
        <v>2.0088484814499284E-2</v>
      </c>
    </row>
    <row r="39" spans="2:19" x14ac:dyDescent="0.25">
      <c r="B39" s="1" t="s">
        <v>32</v>
      </c>
      <c r="C39" s="141">
        <f>'Ingreso estructural no oil'!BO40</f>
        <v>7244.3559808567625</v>
      </c>
      <c r="D39" s="179">
        <v>2395.4629797295597</v>
      </c>
      <c r="E39" s="17">
        <f t="shared" si="2"/>
        <v>7244.3559808567625</v>
      </c>
      <c r="F39" s="181">
        <f>'Gasto estructural'!BF41</f>
        <v>9705.4293845411194</v>
      </c>
      <c r="G39" s="55">
        <f t="shared" si="3"/>
        <v>-2461.0734036843569</v>
      </c>
      <c r="H39" s="163">
        <v>249.84805971757143</v>
      </c>
      <c r="I39" s="126">
        <v>-1834.6379069217173</v>
      </c>
      <c r="J39" s="12">
        <f>'Gasto estructural'!BH41</f>
        <v>8832.8473345893817</v>
      </c>
      <c r="K39" s="55">
        <f>G39+'Gasto estructural'!L41</f>
        <v>-1588.491353732619</v>
      </c>
      <c r="L39" s="165">
        <f>H39+'Gasto estructural'!I41</f>
        <v>1127.1590597175714</v>
      </c>
      <c r="M39" s="66">
        <f>'Datos CBE'!D37</f>
        <v>2678.0320000000002</v>
      </c>
      <c r="O39" s="142">
        <f>H39/'Ingreso estructural no oil'!N40</f>
        <v>4.6664333348001965E-3</v>
      </c>
      <c r="P39" s="142">
        <f>G39/'Ingreso estructural no oil'!N40</f>
        <v>-4.5965676032565086E-2</v>
      </c>
      <c r="Q39" s="142">
        <f>L39/'Ingreso estructural no oil'!N40</f>
        <v>2.1052045054237439E-2</v>
      </c>
      <c r="R39" s="142">
        <f>K39/'Ingreso estructural no oil'!N40</f>
        <v>-2.9668387312989278E-2</v>
      </c>
      <c r="S39" s="142">
        <v>1.5060778406852899E-2</v>
      </c>
    </row>
    <row r="40" spans="2:19" x14ac:dyDescent="0.25">
      <c r="B40" s="1" t="s">
        <v>33</v>
      </c>
      <c r="C40" s="141">
        <f>'Ingreso estructural no oil'!BO41</f>
        <v>7904.4591255656151</v>
      </c>
      <c r="D40" s="179">
        <v>2587.4831323516801</v>
      </c>
      <c r="E40" s="17">
        <f t="shared" si="2"/>
        <v>7904.4591255656151</v>
      </c>
      <c r="F40" s="181">
        <f>'Gasto estructural'!BF42</f>
        <v>10842.690709047421</v>
      </c>
      <c r="G40" s="55">
        <f t="shared" si="3"/>
        <v>-2938.2315834818064</v>
      </c>
      <c r="H40" s="163">
        <v>348.12065644927708</v>
      </c>
      <c r="I40" s="126">
        <v>-1880.1058967641318</v>
      </c>
      <c r="J40" s="12">
        <f>'Gasto estructural'!BH42</f>
        <v>9945.4958524783178</v>
      </c>
      <c r="K40" s="55">
        <f>G40+'Gasto estructural'!L42</f>
        <v>-2041.0367269127032</v>
      </c>
      <c r="L40" s="165">
        <f>H40+'Gasto estructural'!I42</f>
        <v>1245.2796564492771</v>
      </c>
      <c r="M40" s="66">
        <f>'Datos CBE'!D38</f>
        <v>3066.6190000000001</v>
      </c>
      <c r="O40" s="142">
        <f>H40/'Ingreso estructural no oil'!N41</f>
        <v>6.1237706934231433E-3</v>
      </c>
      <c r="P40" s="142">
        <f>G40/'Ingreso estructural no oil'!N41</f>
        <v>-5.1686264885685805E-2</v>
      </c>
      <c r="Q40" s="142">
        <f>L40/'Ingreso estructural no oil'!N41</f>
        <v>2.1905643701413742E-2</v>
      </c>
      <c r="R40" s="142">
        <f>K40/'Ingreso estructural no oil'!N41</f>
        <v>-3.5903761126824862E-2</v>
      </c>
      <c r="S40" s="142">
        <v>9.5950778844688285E-3</v>
      </c>
    </row>
    <row r="41" spans="2:19" x14ac:dyDescent="0.25">
      <c r="B41" s="1" t="s">
        <v>34</v>
      </c>
      <c r="C41" s="141">
        <f>'Ingreso estructural no oil'!BO42</f>
        <v>8081.5493956432665</v>
      </c>
      <c r="D41" s="179">
        <v>2774.1056961519603</v>
      </c>
      <c r="E41" s="17">
        <f t="shared" si="2"/>
        <v>8081.5493956432665</v>
      </c>
      <c r="F41" s="181">
        <f>'Gasto estructural'!BF43</f>
        <v>11985.236996255355</v>
      </c>
      <c r="G41" s="55">
        <f t="shared" si="3"/>
        <v>-3903.6876006120883</v>
      </c>
      <c r="H41" s="163">
        <v>845.35674942963465</v>
      </c>
      <c r="I41" s="126">
        <v>-1705.2695785039161</v>
      </c>
      <c r="J41" s="12">
        <f>'Gasto estructural'!BH43</f>
        <v>11122.552011772574</v>
      </c>
      <c r="K41" s="55">
        <f>G41+'Gasto estructural'!L43</f>
        <v>-3041.0026161293072</v>
      </c>
      <c r="L41" s="165">
        <f>H41+'Gasto estructural'!I43</f>
        <v>1702.9617494296349</v>
      </c>
      <c r="M41" s="66">
        <f>'Datos CBE'!D39</f>
        <v>2829.5839999999998</v>
      </c>
      <c r="O41" s="142">
        <f>H41/'Ingreso estructural no oil'!N42</f>
        <v>1.4056980199473245E-2</v>
      </c>
      <c r="P41" s="142">
        <f>G41/'Ingreso estructural no oil'!N42</f>
        <v>-6.4912309913840616E-2</v>
      </c>
      <c r="Q41" s="142">
        <f>L41/'Ingreso estructural no oil'!N42</f>
        <v>2.831762993356839E-2</v>
      </c>
      <c r="R41" s="142">
        <f>K41/'Ingreso estructural no oil'!N42</f>
        <v>-5.0567187865144247E-2</v>
      </c>
      <c r="S41" s="142">
        <v>-4.4873178836961763E-3</v>
      </c>
    </row>
    <row r="42" spans="2:19" s="48" customFormat="1" x14ac:dyDescent="0.25">
      <c r="B42" s="222" t="s">
        <v>35</v>
      </c>
      <c r="C42" s="363">
        <f>'Ingreso estructural no oil'!BO43</f>
        <v>8348.0041971712017</v>
      </c>
      <c r="D42" s="165">
        <v>2936.1217455891001</v>
      </c>
      <c r="E42" s="165">
        <f t="shared" si="2"/>
        <v>8348.0041971712017</v>
      </c>
      <c r="F42" s="66">
        <f>'Gasto estructural'!BF44</f>
        <v>12802.572619605615</v>
      </c>
      <c r="G42" s="230">
        <f>E42-F42</f>
        <v>-4454.5684224344132</v>
      </c>
      <c r="H42" s="163">
        <v>-614.90620015326408</v>
      </c>
      <c r="I42" s="48">
        <v>-1917.891035944612</v>
      </c>
      <c r="J42" s="66">
        <f>'Gasto estructural'!BH44</f>
        <v>11969.813792687335</v>
      </c>
      <c r="K42" s="230">
        <f>G42+'Gasto estructural'!L44</f>
        <v>-3621.8095955161334</v>
      </c>
      <c r="L42" s="165">
        <f>H42+'Gasto estructural'!I44</f>
        <v>182.01979984673596</v>
      </c>
      <c r="M42" s="66">
        <f>'Datos CBE'!D40</f>
        <v>2139.5640000000003</v>
      </c>
      <c r="O42" s="364">
        <f>H42/'Ingreso estructural no oil'!N43</f>
        <v>-9.955958002006618E-3</v>
      </c>
      <c r="P42" s="364">
        <f>G42/'Ingreso estructural no oil'!N43</f>
        <v>-7.2124002197030815E-2</v>
      </c>
      <c r="Q42" s="364">
        <f>L42/'Ingreso estructural no oil'!N43</f>
        <v>2.9470860471988596E-3</v>
      </c>
      <c r="R42" s="364">
        <f>K42/'Ingreso estructural no oil'!N43</f>
        <v>-5.8640788164496749E-2</v>
      </c>
      <c r="S42" s="364">
        <v>-1.1252543053103954E-2</v>
      </c>
    </row>
    <row r="43" spans="2:19" x14ac:dyDescent="0.25">
      <c r="B43" s="1" t="s">
        <v>36</v>
      </c>
      <c r="C43" s="141">
        <f>'Ingreso estructural no oil'!BO44</f>
        <v>8194.5477221571491</v>
      </c>
      <c r="D43" s="178">
        <v>3062.2436156524795</v>
      </c>
      <c r="E43" s="17">
        <f t="shared" si="2"/>
        <v>8194.5477221571491</v>
      </c>
      <c r="F43" s="181">
        <f>'Gasto estructural'!BF45</f>
        <v>14039.747684000844</v>
      </c>
      <c r="G43" s="55">
        <f t="shared" si="3"/>
        <v>-5845.1999618436948</v>
      </c>
      <c r="H43" s="163">
        <v>-1443.9912083428344</v>
      </c>
      <c r="I43" s="126">
        <v>-1901.4427316968784</v>
      </c>
      <c r="J43" s="12">
        <f>'Gasto estructural'!BH45</f>
        <v>13362.747684000844</v>
      </c>
      <c r="K43" s="55">
        <f>G43+'Gasto estructural'!L45</f>
        <v>-5168.1999618436948</v>
      </c>
      <c r="L43" s="165">
        <f>H43+'Gasto estructural'!I45</f>
        <v>-800.09620834283442</v>
      </c>
      <c r="M43" s="66">
        <f>'Datos CBE'!D41</f>
        <v>1728.864</v>
      </c>
      <c r="O43" s="142">
        <f>H43/'Ingreso estructural no oil'!N44</f>
        <v>-2.3185931223443049E-2</v>
      </c>
      <c r="P43" s="142">
        <f>G43/'Ingreso estructural no oil'!N44</f>
        <v>-9.3855422054898677E-2</v>
      </c>
      <c r="Q43" s="142">
        <f>L43/'Ingreso estructural no oil'!N44</f>
        <v>-1.2847014269611897E-2</v>
      </c>
      <c r="R43" s="142">
        <f>K43/'Ingreso estructural no oil'!N44</f>
        <v>-8.2984943517646959E-2</v>
      </c>
      <c r="S43" s="142">
        <v>-3.3734038503213257E-2</v>
      </c>
    </row>
    <row r="44" spans="2:19" x14ac:dyDescent="0.25">
      <c r="B44" s="1" t="s">
        <v>37</v>
      </c>
      <c r="C44" s="141">
        <f>'Ingreso estructural no oil'!BO45</f>
        <v>10280.839036665357</v>
      </c>
      <c r="D44" s="178">
        <v>3157.9915006516999</v>
      </c>
      <c r="E44" s="17">
        <f t="shared" si="2"/>
        <v>10280.839036665357</v>
      </c>
      <c r="F44" s="181">
        <f>'Gasto estructural'!BF46</f>
        <v>15289.605320091605</v>
      </c>
      <c r="G44" s="55">
        <f t="shared" si="3"/>
        <v>-5008.7662834262483</v>
      </c>
      <c r="H44" s="163">
        <v>-2369.4874181058017</v>
      </c>
      <c r="I44" s="126">
        <v>-2125.9306007724281</v>
      </c>
      <c r="J44" s="12">
        <f>'Gasto estructural'!BH46</f>
        <v>14829.351632429112</v>
      </c>
      <c r="K44" s="55">
        <f>G44+'Gasto estructural'!L46</f>
        <v>-4548.5125957637556</v>
      </c>
      <c r="L44" s="165">
        <f>H44+'Gasto estructural'!I46</f>
        <v>-1762.4894181058016</v>
      </c>
      <c r="M44" s="66">
        <f>'Datos CBE'!D42</f>
        <v>4651.0889999999999</v>
      </c>
      <c r="O44" s="142">
        <f>H44/'Ingreso estructural no oil'!N45</f>
        <v>-3.8169080890994016E-2</v>
      </c>
      <c r="P44" s="142">
        <f>G44/'Ingreso estructural no oil'!N45</f>
        <v>-8.0684119263655624E-2</v>
      </c>
      <c r="Q44" s="142">
        <f>L44/'Ingreso estructural no oil'!N45</f>
        <v>-2.8391204213685965E-2</v>
      </c>
      <c r="R44" s="142">
        <f>K44/'Ingreso estructural no oil'!N45</f>
        <v>-7.3270085282917452E-2</v>
      </c>
      <c r="S44" s="142">
        <v>-2.2443486672383679E-2</v>
      </c>
    </row>
    <row r="45" spans="2:19" x14ac:dyDescent="0.25">
      <c r="B45" s="1" t="s">
        <v>38</v>
      </c>
      <c r="C45" s="141">
        <f>'Ingreso estructural no oil'!BO46</f>
        <v>9705.3012482891718</v>
      </c>
      <c r="D45" s="178">
        <v>3244.1608383425596</v>
      </c>
      <c r="E45" s="17">
        <f t="shared" si="2"/>
        <v>9705.3012482891718</v>
      </c>
      <c r="F45" s="181">
        <f>'Gasto estructural'!BF47</f>
        <v>13736.581079978801</v>
      </c>
      <c r="G45" s="55">
        <f t="shared" si="3"/>
        <v>-4031.2798316896296</v>
      </c>
      <c r="H45" s="163">
        <v>-3348.917303514424</v>
      </c>
      <c r="I45" s="126">
        <v>-3246.9806526007228</v>
      </c>
      <c r="J45" s="12">
        <f>'Gasto estructural'!BH47</f>
        <v>13329.550151962052</v>
      </c>
      <c r="K45" s="55">
        <f>G45+'Gasto estructural'!L47</f>
        <v>-3624.2489036728803</v>
      </c>
      <c r="L45" s="165">
        <f>H45+'Gasto estructural'!I47</f>
        <v>-2861.609303514424</v>
      </c>
      <c r="M45" s="66">
        <f>'Datos CBE'!D43</f>
        <v>4612.8470000000007</v>
      </c>
      <c r="O45" s="142">
        <f>H45/'Ingreso estructural no oil'!N46</f>
        <v>-5.4325656261525919E-2</v>
      </c>
      <c r="P45" s="142">
        <f>G45/'Ingreso estructural no oil'!N46</f>
        <v>-6.5394843342523767E-2</v>
      </c>
      <c r="Q45" s="142">
        <f>L45/'Ingreso estructural no oil'!N46</f>
        <v>-4.642061576568865E-2</v>
      </c>
      <c r="R45" s="142">
        <f>K45/'Ingreso estructural no oil'!N46</f>
        <v>-5.8792045996634457E-2</v>
      </c>
      <c r="S45" s="142">
        <v>-6.3067763015352595E-3</v>
      </c>
    </row>
    <row r="46" spans="2:19" s="48" customFormat="1" x14ac:dyDescent="0.25">
      <c r="B46" s="222" t="s">
        <v>39</v>
      </c>
      <c r="C46" s="363">
        <f>'Ingreso estructural no oil'!BO47</f>
        <v>9228.4724528059633</v>
      </c>
      <c r="D46" s="165">
        <v>3348.9581947905599</v>
      </c>
      <c r="E46" s="165">
        <f t="shared" si="2"/>
        <v>9228.4724528059633</v>
      </c>
      <c r="F46" s="66">
        <f>'Gasto estructural'!BF48</f>
        <v>13412.579410759783</v>
      </c>
      <c r="G46" s="230">
        <f t="shared" si="3"/>
        <v>-4184.1069579538198</v>
      </c>
      <c r="H46" s="163">
        <v>-2634.9845629076272</v>
      </c>
      <c r="I46" s="48">
        <v>-3803.871409820365</v>
      </c>
      <c r="J46" s="66">
        <f>'Gasto estructural'!BH48</f>
        <v>12944.826887597734</v>
      </c>
      <c r="K46" s="230">
        <f>G46+'Gasto estructural'!L48</f>
        <v>-3716.35443479177</v>
      </c>
      <c r="L46" s="165">
        <f>H46+'Gasto estructural'!I48</f>
        <v>-2160.8885629076271</v>
      </c>
      <c r="M46" s="66">
        <f>'Datos CBE'!D44</f>
        <v>4789.7669999999998</v>
      </c>
      <c r="O46" s="364">
        <f>H46/'Ingreso estructural no oil'!N47</f>
        <v>-4.214647787750609E-2</v>
      </c>
      <c r="P46" s="364">
        <f>G46/'Ingreso estructural no oil'!N47</f>
        <v>-6.6924631674474822E-2</v>
      </c>
      <c r="Q46" s="364">
        <f>L46/'Ingreso estructural no oil'!N47</f>
        <v>-3.456333038697007E-2</v>
      </c>
      <c r="R46" s="364">
        <f>K46/'Ingreso estructural no oil'!N47</f>
        <v>-5.9442947854724829E-2</v>
      </c>
      <c r="S46" s="364">
        <v>-5.8491983621078072E-3</v>
      </c>
    </row>
    <row r="47" spans="2:19" x14ac:dyDescent="0.25">
      <c r="B47" s="1" t="s">
        <v>40</v>
      </c>
      <c r="C47" s="141">
        <f>'Ingreso estructural no oil'!BO48</f>
        <v>10217.182382502531</v>
      </c>
      <c r="D47" s="178">
        <v>3495.6665175756798</v>
      </c>
      <c r="E47" s="17">
        <f t="shared" si="2"/>
        <v>10217.182382502531</v>
      </c>
      <c r="F47" s="181">
        <f>'Gasto estructural'!BF49</f>
        <v>13747.234130313775</v>
      </c>
      <c r="G47" s="55">
        <f t="shared" si="3"/>
        <v>-3530.0517478112433</v>
      </c>
      <c r="H47" s="163">
        <v>-1355.795858601879</v>
      </c>
      <c r="I47" s="126">
        <v>-5256.6184197032635</v>
      </c>
      <c r="J47" s="12">
        <f>'Gasto estructural'!BH49</f>
        <v>13249.790198577899</v>
      </c>
      <c r="K47" s="55">
        <f>G47+'Gasto estructural'!L49</f>
        <v>-3032.6078160753686</v>
      </c>
      <c r="L47" s="165">
        <f>H47+'Gasto estructural'!I49</f>
        <v>-866.78885860187904</v>
      </c>
      <c r="M47" s="66">
        <f>'Datos CBE'!D45</f>
        <v>4749.5909999999994</v>
      </c>
      <c r="O47" s="142">
        <f>H47/'Ingreso estructural no oil'!N48</f>
        <v>-2.1098495128694272E-2</v>
      </c>
      <c r="P47" s="142">
        <f>G47/'Ingreso estructural no oil'!N48</f>
        <v>-5.4933623769907423E-2</v>
      </c>
      <c r="Q47" s="142">
        <f>L47/'Ingreso estructural no oil'!N48</f>
        <v>-1.3488712474514464E-2</v>
      </c>
      <c r="R47" s="142">
        <f>K47/'Ingreso estructural no oil'!N48</f>
        <v>-4.7192548073341389E-2</v>
      </c>
      <c r="S47" s="142">
        <v>7.1224830715896957E-3</v>
      </c>
    </row>
    <row r="48" spans="2:19" x14ac:dyDescent="0.25">
      <c r="B48" s="1" t="s">
        <v>41</v>
      </c>
      <c r="C48" s="141">
        <f>'Ingreso estructural no oil'!BO49</f>
        <v>10962.167137008893</v>
      </c>
      <c r="D48" s="178">
        <v>3693.2078055078</v>
      </c>
      <c r="E48" s="17">
        <f t="shared" si="2"/>
        <v>10962.167137008893</v>
      </c>
      <c r="F48" s="181">
        <f>'Gasto estructural'!BF50</f>
        <v>15594.311311967631</v>
      </c>
      <c r="G48" s="55">
        <f t="shared" si="3"/>
        <v>-4632.1441749587375</v>
      </c>
      <c r="H48" s="163">
        <v>-1156.219109929606</v>
      </c>
      <c r="I48" s="126">
        <v>-5389.7852573528335</v>
      </c>
      <c r="J48" s="12">
        <f>'Gasto estructural'!BH50</f>
        <v>15135.095752866675</v>
      </c>
      <c r="K48" s="55">
        <f>G48+'Gasto estructural'!L50</f>
        <v>-4172.9286158577806</v>
      </c>
      <c r="L48" s="165">
        <f>H48+'Gasto estructural'!I50</f>
        <v>-683.74510992960609</v>
      </c>
      <c r="M48" s="66">
        <f>'Datos CBE'!D46</f>
        <v>765.27449999999999</v>
      </c>
      <c r="O48" s="142">
        <f>H48/'Ingreso estructural no oil'!N49</f>
        <v>-1.7587158008170699E-2</v>
      </c>
      <c r="P48" s="142">
        <f>G48/'Ingreso estructural no oil'!N49</f>
        <v>-7.0459180982216013E-2</v>
      </c>
      <c r="Q48" s="142">
        <f>L48/'Ingreso estructural no oil'!N49</f>
        <v>-1.0400393128235142E-2</v>
      </c>
      <c r="R48" s="142">
        <f>K48/'Ingreso estructural no oil'!N49</f>
        <v>-6.3474089204749465E-2</v>
      </c>
      <c r="S48" s="142">
        <v>-7.1222481255685489E-3</v>
      </c>
    </row>
    <row r="49" spans="2:19" x14ac:dyDescent="0.25">
      <c r="B49" s="1" t="s">
        <v>42</v>
      </c>
      <c r="C49" s="141">
        <f>'Ingreso estructural no oil'!BO50</f>
        <v>11098.574085899274</v>
      </c>
      <c r="D49" s="178">
        <v>3938.5652198309995</v>
      </c>
      <c r="E49" s="17">
        <f t="shared" si="2"/>
        <v>11098.574085899274</v>
      </c>
      <c r="F49" s="181">
        <f>'Gasto estructural'!BF51</f>
        <v>15801.358565913722</v>
      </c>
      <c r="G49" s="55">
        <f t="shared" si="3"/>
        <v>-4702.7844800144485</v>
      </c>
      <c r="H49" s="163">
        <v>-792.8887880001671</v>
      </c>
      <c r="I49" s="126">
        <v>-5165.357592175802</v>
      </c>
      <c r="J49" s="12">
        <f>'Gasto estructural'!BH51</f>
        <v>15303.704574370367</v>
      </c>
      <c r="K49" s="55">
        <f>G49+'Gasto estructural'!L51</f>
        <v>-4205.1304884710935</v>
      </c>
      <c r="L49" s="165">
        <f>H49+'Gasto estructural'!I51</f>
        <v>-306.48078800016708</v>
      </c>
      <c r="M49" s="66">
        <f>'Datos CBE'!D47</f>
        <v>722.07535000000007</v>
      </c>
      <c r="O49" s="142">
        <f>H49/'Ingreso estructural no oil'!N50</f>
        <v>-1.1765391773204899E-2</v>
      </c>
      <c r="P49" s="142">
        <f>G49/'Ingreso estructural no oil'!N50</f>
        <v>-6.9782928791150986E-2</v>
      </c>
      <c r="Q49" s="142">
        <f>L49/'Ingreso estructural no oil'!N50</f>
        <v>-4.5477582686939957E-3</v>
      </c>
      <c r="R49" s="142">
        <f>K49/'Ingreso estructural no oil'!N50</f>
        <v>-6.2398420059763135E-2</v>
      </c>
      <c r="S49" s="142">
        <v>-3.8324779101703869E-3</v>
      </c>
    </row>
    <row r="50" spans="2:19" s="48" customFormat="1" x14ac:dyDescent="0.25">
      <c r="B50" s="222" t="s">
        <v>43</v>
      </c>
      <c r="C50" s="363">
        <f>'Ingreso estructural no oil'!BO51</f>
        <v>11092.254265679592</v>
      </c>
      <c r="D50" s="165">
        <v>4221.7370256817694</v>
      </c>
      <c r="E50" s="165">
        <f t="shared" si="2"/>
        <v>11092.254265679592</v>
      </c>
      <c r="F50" s="66">
        <f>'Gasto estructural'!BF52</f>
        <v>16727.165136488849</v>
      </c>
      <c r="G50" s="230">
        <f t="shared" si="3"/>
        <v>-5634.9108708092572</v>
      </c>
      <c r="H50" s="163">
        <v>-1131.3919464773703</v>
      </c>
      <c r="I50" s="48">
        <v>-5273.1551594544235</v>
      </c>
      <c r="J50" s="66">
        <f>'Gasto estructural'!BH52</f>
        <v>16177.580677580212</v>
      </c>
      <c r="K50" s="230">
        <f>G50+'Gasto estructural'!L52</f>
        <v>-5085.3264119006199</v>
      </c>
      <c r="L50" s="165">
        <f>H50+'Gasto estructural'!I52</f>
        <v>-601.60694647737023</v>
      </c>
      <c r="M50" s="66">
        <f>'Datos CBE'!D48</f>
        <v>961.79949699999997</v>
      </c>
      <c r="O50" s="364">
        <f>H50/'Ingreso estructural no oil'!N51</f>
        <v>-1.6266062494895185E-2</v>
      </c>
      <c r="P50" s="364">
        <f>G50/'Ingreso estructural no oil'!N51</f>
        <v>-8.1013315202682457E-2</v>
      </c>
      <c r="Q50" s="364">
        <f>L50/'Ingreso estructural no oil'!N51</f>
        <v>-8.6493245945689599E-3</v>
      </c>
      <c r="R50" s="364">
        <f>K50/'Ingreso estructural no oil'!N51</f>
        <v>-7.3111919773216349E-2</v>
      </c>
      <c r="S50" s="364">
        <v>-1.2233630209411176E-2</v>
      </c>
    </row>
    <row r="51" spans="2:19" x14ac:dyDescent="0.25">
      <c r="B51" s="1" t="s">
        <v>44</v>
      </c>
      <c r="C51" s="141">
        <f>'Ingreso estructural no oil'!BO52</f>
        <v>10708.585836524921</v>
      </c>
      <c r="D51" s="177">
        <v>4528.3278272880198</v>
      </c>
      <c r="E51" s="17">
        <f t="shared" si="2"/>
        <v>10708.585836524921</v>
      </c>
      <c r="F51" s="181">
        <f>'Gasto estructural'!BF53</f>
        <v>17852.554263450686</v>
      </c>
      <c r="G51" s="55">
        <f t="shared" si="3"/>
        <v>-7143.968426925765</v>
      </c>
      <c r="H51" s="163">
        <v>-2180.6746634709507</v>
      </c>
      <c r="I51" s="126">
        <v>-4933.1746596276262</v>
      </c>
      <c r="J51" s="12">
        <f>'Gasto estructural'!BH53</f>
        <v>17298.577246950405</v>
      </c>
      <c r="K51" s="55">
        <f>G51+'Gasto estructural'!L53</f>
        <v>-6589.9914104254849</v>
      </c>
      <c r="L51" s="165">
        <f>H51+'Gasto estructural'!I53</f>
        <v>-1631.8803272909506</v>
      </c>
      <c r="M51" s="66">
        <f>'Datos CBE'!D49</f>
        <v>1102.3106700000001</v>
      </c>
      <c r="O51" s="142">
        <f>H51/'Ingreso estructural no oil'!N52</f>
        <v>-3.0407216912255643E-2</v>
      </c>
      <c r="P51" s="142">
        <f>G51/'Ingreso estructural no oil'!N52</f>
        <v>-9.9615133431264921E-2</v>
      </c>
      <c r="Q51" s="142">
        <f>L51/'Ingreso estructural no oil'!N52</f>
        <v>-2.2754856521237186E-2</v>
      </c>
      <c r="R51" s="142">
        <f>K51/'Ingreso estructural no oil'!N52</f>
        <v>-9.1890506008705491E-2</v>
      </c>
      <c r="S51" s="142">
        <v>-2.8313754103995423E-2</v>
      </c>
    </row>
    <row r="52" spans="2:19" x14ac:dyDescent="0.25">
      <c r="B52" s="1" t="s">
        <v>45</v>
      </c>
      <c r="C52" s="141">
        <f>'Ingreso estructural no oil'!BO53</f>
        <v>10802.661662320232</v>
      </c>
      <c r="D52" s="177">
        <v>4841.3207764273002</v>
      </c>
      <c r="E52" s="17">
        <f t="shared" si="2"/>
        <v>10802.661662320232</v>
      </c>
      <c r="F52" s="181">
        <f>'Gasto estructural'!BF54</f>
        <v>17638.569609229336</v>
      </c>
      <c r="G52" s="55">
        <f t="shared" si="3"/>
        <v>-6835.9079469091048</v>
      </c>
      <c r="H52" s="163">
        <v>-1453.5730294708005</v>
      </c>
      <c r="I52" s="126">
        <v>-4354.2120575004319</v>
      </c>
      <c r="J52" s="12">
        <f>'Gasto estructural'!BH54</f>
        <v>17018.140657081025</v>
      </c>
      <c r="K52" s="55">
        <f>G52+'Gasto estructural'!L54</f>
        <v>-6215.4789947607924</v>
      </c>
      <c r="L52" s="165">
        <f>H52+'Gasto estructural'!I54</f>
        <v>-836.19611372080055</v>
      </c>
      <c r="M52" s="66">
        <f>'Datos CBE'!D50</f>
        <v>1493.3663909799998</v>
      </c>
      <c r="O52" s="142">
        <f>H52/'Ingreso estructural no oil'!N53</f>
        <v>-1.954436119820506E-2</v>
      </c>
      <c r="P52" s="142">
        <f>G52/'Ingreso estructural no oil'!N53</f>
        <v>-9.1913822920003316E-2</v>
      </c>
      <c r="Q52" s="142">
        <f>L52/'Ingreso estructural no oil'!N53</f>
        <v>-1.1243273332503021E-2</v>
      </c>
      <c r="R52" s="142">
        <f>K52/'Ingreso estructural no oil'!N53</f>
        <v>-8.3571698174454645E-2</v>
      </c>
      <c r="S52" s="142">
        <v>-1.8476385853021068E-2</v>
      </c>
    </row>
    <row r="53" spans="2:19" x14ac:dyDescent="0.25">
      <c r="B53" s="1" t="s">
        <v>46</v>
      </c>
      <c r="C53" s="141">
        <f>'Ingreso estructural no oil'!BO54</f>
        <v>10972.063452500302</v>
      </c>
      <c r="D53" s="165">
        <v>5142.2078992567804</v>
      </c>
      <c r="E53" s="17">
        <f t="shared" si="2"/>
        <v>10972.063452500302</v>
      </c>
      <c r="F53" s="181">
        <f>'Gasto estructural'!BF55</f>
        <v>18016.73444781786</v>
      </c>
      <c r="G53" s="55">
        <f t="shared" si="3"/>
        <v>-7044.6709953175578</v>
      </c>
      <c r="H53" s="163">
        <v>-1285.49432410183</v>
      </c>
      <c r="I53" s="126">
        <v>-4672.5823918460028</v>
      </c>
      <c r="J53" s="12">
        <f>'Gasto estructural'!BH55</f>
        <v>17389.1080466561</v>
      </c>
      <c r="K53" s="55">
        <f>G53+'Gasto estructural'!L55</f>
        <v>-6417.0445941557973</v>
      </c>
      <c r="L53" s="165">
        <f>H53+'Gasto estructural'!I55</f>
        <v>-656.38932967182996</v>
      </c>
      <c r="M53" s="66">
        <f>'Datos CBE'!D51</f>
        <v>1616.47288473</v>
      </c>
      <c r="O53" s="142">
        <f>H53/'Ingreso estructural no oil'!N54</f>
        <v>-1.6713805841430465E-2</v>
      </c>
      <c r="P53" s="142">
        <f>G53/'Ingreso estructural no oil'!N54</f>
        <v>-9.159376360122097E-2</v>
      </c>
      <c r="Q53" s="142">
        <f>L53/'Ingreso estructural no oil'!N54</f>
        <v>-8.5342763533295951E-3</v>
      </c>
      <c r="R53" s="142">
        <f>K53/'Ingreso estructural no oil'!N54</f>
        <v>-8.3433458562688231E-2</v>
      </c>
      <c r="S53" s="142">
        <v>-1.6535898562134284E-2</v>
      </c>
    </row>
    <row r="54" spans="2:19" s="48" customFormat="1" x14ac:dyDescent="0.25">
      <c r="B54" s="222" t="s">
        <v>47</v>
      </c>
      <c r="C54" s="363">
        <f>'Ingreso estructural no oil'!BO55</f>
        <v>11297.809444540633</v>
      </c>
      <c r="D54" s="165">
        <v>5410.2303545612804</v>
      </c>
      <c r="E54" s="165">
        <f t="shared" si="2"/>
        <v>11297.809444540633</v>
      </c>
      <c r="F54" s="66">
        <f>'Gasto estructural'!BF56</f>
        <v>18380.819468541624</v>
      </c>
      <c r="G54" s="230">
        <f t="shared" si="3"/>
        <v>-7083.0100240009906</v>
      </c>
      <c r="H54" s="163">
        <v>-1236.3450653573645</v>
      </c>
      <c r="I54" s="48">
        <v>-4789.5554199547014</v>
      </c>
      <c r="J54" s="66">
        <f>'Gasto estructural'!BH56</f>
        <v>17714.111915990328</v>
      </c>
      <c r="K54" s="230">
        <f>G54+'Gasto estructural'!L56</f>
        <v>-6416.3024714496969</v>
      </c>
      <c r="L54" s="165">
        <f>H54+'Gasto estructural'!I56</f>
        <v>-563.34975156736459</v>
      </c>
      <c r="M54" s="66">
        <f>'Datos CBE'!D52</f>
        <v>1654.1962787299999</v>
      </c>
      <c r="O54" s="364">
        <f>H54/'Ingreso estructural no oil'!N55</f>
        <v>-1.5595321535696361E-2</v>
      </c>
      <c r="P54" s="364">
        <f>G54/'Ingreso estructural no oil'!N55</f>
        <v>-8.9345460147023728E-2</v>
      </c>
      <c r="Q54" s="364">
        <f>L54/'Ingreso estructural no oil'!N55</f>
        <v>-7.10612332990405E-3</v>
      </c>
      <c r="R54" s="364">
        <f>K54/'Ingreso estructural no oil'!N55</f>
        <v>-8.0935576091467426E-2</v>
      </c>
      <c r="S54" s="364">
        <v>-1.2703990410058248E-2</v>
      </c>
    </row>
    <row r="55" spans="2:19" x14ac:dyDescent="0.25">
      <c r="B55" s="1" t="s">
        <v>128</v>
      </c>
      <c r="C55" s="141">
        <f>'Ingreso estructural no oil'!BO56</f>
        <v>11770.818091276644</v>
      </c>
      <c r="D55" s="165">
        <v>5627.3271930689998</v>
      </c>
      <c r="E55" s="17">
        <f t="shared" si="2"/>
        <v>11770.818091276644</v>
      </c>
      <c r="F55" s="181">
        <f>'Gasto estructural'!BF57</f>
        <v>18992.269126148327</v>
      </c>
      <c r="G55" s="55">
        <f t="shared" si="3"/>
        <v>-7221.4510348716831</v>
      </c>
      <c r="H55" s="163">
        <v>-706.60776389097282</v>
      </c>
      <c r="I55" s="126">
        <v>-5542.3771555295752</v>
      </c>
      <c r="J55" s="12">
        <f>'Gasto estructural'!BH57</f>
        <v>18279.641242090376</v>
      </c>
      <c r="K55" s="55">
        <f>G55+'Gasto estructural'!L57</f>
        <v>-6508.8231508137305</v>
      </c>
      <c r="L55" s="165">
        <f>H55+'Gasto estructural'!I57</f>
        <v>13.917840939027087</v>
      </c>
      <c r="M55" s="66">
        <f>'Datos CBE'!D53</f>
        <v>1433.5605667299999</v>
      </c>
      <c r="O55" s="142">
        <f>H55/'Ingreso estructural no oil'!N56</f>
        <v>-8.6196227629387612E-3</v>
      </c>
      <c r="P55" s="142">
        <f>G55/'Ingreso estructural no oil'!N56</f>
        <v>-8.8091564942431075E-2</v>
      </c>
      <c r="Q55" s="142">
        <f>L55/'Ingreso estructural no oil'!N56</f>
        <v>1.697781211862106E-4</v>
      </c>
      <c r="R55" s="142">
        <f>K55/'Ingreso estructural no oil'!N56</f>
        <v>-7.9398505164674948E-2</v>
      </c>
      <c r="S55" s="142">
        <v>-1.0729065296168419E-2</v>
      </c>
    </row>
    <row r="56" spans="2:19" x14ac:dyDescent="0.25">
      <c r="B56" s="1" t="s">
        <v>49</v>
      </c>
      <c r="C56" s="141">
        <f>'Ingreso estructural no oil'!BO57</f>
        <v>12401.051452762917</v>
      </c>
      <c r="D56" s="165">
        <v>5779.9838035759194</v>
      </c>
      <c r="E56" s="17">
        <f t="shared" si="2"/>
        <v>12401.051452762917</v>
      </c>
      <c r="F56" s="181">
        <f>'Gasto estructural'!BF58</f>
        <v>19557.199396413565</v>
      </c>
      <c r="G56" s="55">
        <f t="shared" si="3"/>
        <v>-7156.1479436506488</v>
      </c>
      <c r="H56" s="163">
        <v>-298.90109335296893</v>
      </c>
      <c r="I56" s="126">
        <v>-6769.4654731375413</v>
      </c>
      <c r="J56" s="12">
        <f>'Gasto estructural'!BH58</f>
        <v>18816.924641946029</v>
      </c>
      <c r="K56" s="55">
        <f>G56+'Gasto estructural'!L58</f>
        <v>-6415.873189183113</v>
      </c>
      <c r="L56" s="165">
        <f>H56+'Gasto estructural'!I58</f>
        <v>445.83396688703101</v>
      </c>
      <c r="M56" s="66">
        <f>'Datos CBE'!D54</f>
        <v>1474.20045895</v>
      </c>
      <c r="O56" s="142">
        <f>H56/'Ingreso estructural no oil'!N57</f>
        <v>-3.5516921695962684E-3</v>
      </c>
      <c r="P56" s="142">
        <f>G56/'Ingreso estructural no oil'!N57</f>
        <v>-8.503292621255977E-2</v>
      </c>
      <c r="Q56" s="142">
        <f>L56/'Ingreso estructural no oil'!N57</f>
        <v>5.2976220038874668E-3</v>
      </c>
      <c r="R56" s="142">
        <f>K56/'Ingreso estructural no oil'!N57</f>
        <v>-7.6236611621340392E-2</v>
      </c>
      <c r="S56" s="142">
        <v>-7.5837175356570502E-3</v>
      </c>
    </row>
    <row r="57" spans="2:19" x14ac:dyDescent="0.25">
      <c r="B57" s="1" t="s">
        <v>179</v>
      </c>
      <c r="C57" s="141">
        <f>'Ingreso estructural no oil'!BO58</f>
        <v>13024.9627557679</v>
      </c>
      <c r="D57" s="165">
        <v>5857.8301478854</v>
      </c>
      <c r="E57" s="17">
        <f t="shared" si="2"/>
        <v>13024.9627557679</v>
      </c>
      <c r="F57" s="181">
        <f>'Gasto estructural'!BF59</f>
        <v>20197.469809507566</v>
      </c>
      <c r="G57" s="55">
        <f t="shared" si="3"/>
        <v>-7172.5070537396659</v>
      </c>
      <c r="H57" s="163">
        <v>-654.15092307960549</v>
      </c>
      <c r="I57" s="126">
        <v>-6832.0795357647385</v>
      </c>
      <c r="J57" s="12">
        <f>'Gasto estructural'!BH59</f>
        <v>19418.856880458843</v>
      </c>
      <c r="K57" s="55">
        <f>G57+'Gasto estructural'!L59</f>
        <v>-6393.8941246909435</v>
      </c>
      <c r="L57" s="165">
        <f>H57+'Gasto estructural'!I59</f>
        <v>128.85009349892857</v>
      </c>
      <c r="M57" s="66">
        <f>'Datos CBE'!D55</f>
        <v>1410.4743851999999</v>
      </c>
      <c r="O57" s="142">
        <f>H57/'Ingreso estructural no oil'!N58</f>
        <v>-7.5803294844643378E-3</v>
      </c>
      <c r="P57" s="142">
        <f>G57/'Ingreso estructural no oil'!N58</f>
        <v>-8.3115325192890985E-2</v>
      </c>
      <c r="Q57" s="142">
        <f>L57/'Ingreso estructural no oil'!N58</f>
        <v>1.4931205144948704E-3</v>
      </c>
      <c r="R57" s="142">
        <f>K57/'Ingreso estructural no oil'!N58</f>
        <v>-7.4092724543996208E-2</v>
      </c>
      <c r="S57" s="142">
        <v>-6.1870560336428244E-3</v>
      </c>
    </row>
    <row r="58" spans="2:19" s="48" customFormat="1" x14ac:dyDescent="0.25">
      <c r="B58" s="222" t="s">
        <v>180</v>
      </c>
      <c r="C58" s="363">
        <f>'Ingreso estructural no oil'!BO59</f>
        <v>13540.100140047332</v>
      </c>
      <c r="D58" s="165">
        <v>5857.1237710985997</v>
      </c>
      <c r="E58" s="165">
        <f t="shared" si="2"/>
        <v>13540.100140047332</v>
      </c>
      <c r="F58" s="66">
        <f>'Gasto estructural'!BF60</f>
        <v>21193.693093889942</v>
      </c>
      <c r="G58" s="230">
        <f t="shared" si="3"/>
        <v>-7653.5929538426099</v>
      </c>
      <c r="H58" s="163">
        <v>-1702.715944385247</v>
      </c>
      <c r="I58" s="48">
        <v>-7128.6988560011741</v>
      </c>
      <c r="J58" s="66">
        <f>'Gasto estructural'!BH60</f>
        <v>20367.288722048921</v>
      </c>
      <c r="K58" s="230">
        <f>G58+'Gasto estructural'!L60</f>
        <v>-6827.1885820015896</v>
      </c>
      <c r="L58" s="165">
        <f>H58+'Gasto estructural'!I60</f>
        <v>-874.82640970074578</v>
      </c>
      <c r="M58" s="66">
        <f>'Datos CBE'!D56</f>
        <v>1557.2744352</v>
      </c>
      <c r="O58" s="364">
        <f>H58/'Ingreso estructural no oil'!N59</f>
        <v>-1.9365649987166802E-2</v>
      </c>
      <c r="P58" s="364">
        <f>G58/'Ingreso estructural no oil'!N59</f>
        <v>-8.7047286294059251E-2</v>
      </c>
      <c r="Q58" s="364">
        <f>L58/'Ingreso estructural no oil'!N59</f>
        <v>-9.9497406514925529E-3</v>
      </c>
      <c r="R58" s="364">
        <f>K58/'Ingreso estructural no oil'!N59</f>
        <v>-7.7648268292430253E-2</v>
      </c>
      <c r="S58" s="364">
        <v>-1.1914553407965054E-2</v>
      </c>
    </row>
    <row r="59" spans="2:19" x14ac:dyDescent="0.25">
      <c r="B59" s="1" t="s">
        <v>181</v>
      </c>
      <c r="C59" s="141">
        <f>'Ingreso estructural no oil'!BO60</f>
        <v>13858.010905858737</v>
      </c>
      <c r="D59" s="165">
        <v>5782.7747588584598</v>
      </c>
      <c r="E59" s="17">
        <f t="shared" si="2"/>
        <v>13858.010905858737</v>
      </c>
      <c r="F59" s="181">
        <f>'Gasto estructural'!BF61</f>
        <v>21962.302815113435</v>
      </c>
      <c r="G59" s="55">
        <f t="shared" si="3"/>
        <v>-8104.2919092546981</v>
      </c>
      <c r="H59" s="163">
        <v>-2164.5395127998713</v>
      </c>
      <c r="I59" s="126">
        <v>-7207.7099553605667</v>
      </c>
      <c r="J59" s="12">
        <f>'Gasto estructural'!BH61</f>
        <v>21083.685771555</v>
      </c>
      <c r="K59" s="55">
        <f>G59+'Gasto estructural'!L61</f>
        <v>-7225.6748656962636</v>
      </c>
      <c r="L59" s="165">
        <f>H59+'Gasto estructural'!I61</f>
        <v>-1292.7771288432928</v>
      </c>
      <c r="M59" s="66">
        <f>'Datos CBE'!D57</f>
        <v>1771.0035051999998</v>
      </c>
      <c r="O59" s="142">
        <f>H59/'Ingreso estructural no oil'!N60</f>
        <v>-2.4233158934275367E-2</v>
      </c>
      <c r="P59" s="142">
        <f>G59/'Ingreso estructural no oil'!N60</f>
        <v>-9.0731812806084403E-2</v>
      </c>
      <c r="Q59" s="142">
        <f>L59/'Ingreso estructural no oil'!N60</f>
        <v>-1.4473320281103236E-2</v>
      </c>
      <c r="R59" s="142">
        <f>K59/'Ingreso estructural no oil'!N60</f>
        <v>-8.0895232631406258E-2</v>
      </c>
      <c r="S59" s="142">
        <v>-1.6859065229128938E-2</v>
      </c>
    </row>
    <row r="60" spans="2:19" x14ac:dyDescent="0.25">
      <c r="B60" s="1" t="s">
        <v>182</v>
      </c>
      <c r="C60" s="141">
        <f>'Ingreso estructural no oil'!BO61</f>
        <v>14638.745062486514</v>
      </c>
      <c r="D60" s="165">
        <v>5645.04697093092</v>
      </c>
      <c r="E60" s="17">
        <f t="shared" si="2"/>
        <v>14638.745062486514</v>
      </c>
      <c r="F60" s="181">
        <f>'Gasto estructural'!BF62</f>
        <v>22949.713715883714</v>
      </c>
      <c r="G60" s="55">
        <f t="shared" ref="G60:G92" si="4">E60-F60</f>
        <v>-8310.9686533971999</v>
      </c>
      <c r="H60" s="163">
        <v>-3455.6101653106298</v>
      </c>
      <c r="I60" s="126">
        <v>-7286.2116458244145</v>
      </c>
      <c r="J60" s="12">
        <f>'Gasto estructural'!BH62</f>
        <v>21909.340423220634</v>
      </c>
      <c r="K60" s="55">
        <f>G60+'Gasto estructural'!L62</f>
        <v>-7270.5953607341198</v>
      </c>
      <c r="L60" s="165">
        <f>H60+'Gasto estructural'!I62</f>
        <v>-2448.3427628063228</v>
      </c>
      <c r="M60" s="66">
        <f>'Datos CBE'!D58</f>
        <v>1470.7957390000001</v>
      </c>
      <c r="O60" s="142">
        <f>H60/'Ingreso estructural no oil'!N61</f>
        <v>-3.8034814050366683E-2</v>
      </c>
      <c r="P60" s="142">
        <f>G60/'Ingreso estructural no oil'!N61</f>
        <v>-9.1476217567491053E-2</v>
      </c>
      <c r="Q60" s="142">
        <f>L60/'Ingreso estructural no oil'!N61</f>
        <v>-2.6948138609416496E-2</v>
      </c>
      <c r="R60" s="142">
        <f>K60/'Ingreso estructural no oil'!N61</f>
        <v>-8.0025156007758974E-2</v>
      </c>
      <c r="S60" s="142">
        <v>-1.7968539604152026E-2</v>
      </c>
    </row>
    <row r="61" spans="2:19" x14ac:dyDescent="0.25">
      <c r="B61" s="1" t="s">
        <v>183</v>
      </c>
      <c r="C61" s="141">
        <f>'Ingreso estructural no oil'!BO62</f>
        <v>15121.276312940669</v>
      </c>
      <c r="D61" s="165">
        <v>5456.4010166113194</v>
      </c>
      <c r="E61" s="17">
        <f t="shared" si="2"/>
        <v>15121.276312940669</v>
      </c>
      <c r="F61" s="181">
        <f>'Gasto estructural'!BF63</f>
        <v>24237.67746081284</v>
      </c>
      <c r="G61" s="55">
        <f t="shared" si="4"/>
        <v>-9116.4011478721714</v>
      </c>
      <c r="H61" s="163">
        <v>-4417.2445896641593</v>
      </c>
      <c r="I61" s="126">
        <v>-7272.0580209496175</v>
      </c>
      <c r="J61" s="12">
        <f>'Gasto estructural'!BH63</f>
        <v>23160.371495472216</v>
      </c>
      <c r="K61" s="55">
        <f>G61+'Gasto estructural'!L63</f>
        <v>-8039.095182531546</v>
      </c>
      <c r="L61" s="165">
        <f>H61+'Gasto estructural'!I63</f>
        <v>-3342.8953806235509</v>
      </c>
      <c r="M61" s="66">
        <f>'Datos CBE'!D59</f>
        <v>1758.5794700000001</v>
      </c>
      <c r="O61" s="142">
        <f>H61/'Ingreso estructural no oil'!N62</f>
        <v>-4.7504654162297447E-2</v>
      </c>
      <c r="P61" s="142">
        <f>G61/'Ingreso estructural no oil'!N62</f>
        <v>-9.8041092120589396E-2</v>
      </c>
      <c r="Q61" s="142">
        <f>L61/'Ingreso estructural no oil'!N62</f>
        <v>-3.595071219937522E-2</v>
      </c>
      <c r="R61" s="142">
        <f>K61/'Ingreso estructural no oil'!N62</f>
        <v>-8.6455352125517637E-2</v>
      </c>
      <c r="S61" s="142">
        <v>-2.7777433032449988E-2</v>
      </c>
    </row>
    <row r="62" spans="2:19" s="48" customFormat="1" x14ac:dyDescent="0.25">
      <c r="B62" s="222" t="s">
        <v>184</v>
      </c>
      <c r="C62" s="363">
        <f>'Ingreso estructural no oil'!BO63</f>
        <v>15527.525488452129</v>
      </c>
      <c r="D62" s="165">
        <v>5229.7523450354001</v>
      </c>
      <c r="E62" s="165">
        <f t="shared" si="2"/>
        <v>15527.525488452129</v>
      </c>
      <c r="F62" s="66">
        <f>'Gasto estructural'!BF64</f>
        <v>25751.878955459324</v>
      </c>
      <c r="G62" s="230">
        <f t="shared" si="4"/>
        <v>-10224.353467007195</v>
      </c>
      <c r="H62" s="163">
        <v>-5461.2529756010117</v>
      </c>
      <c r="I62" s="48">
        <v>-7214.6808258942237</v>
      </c>
      <c r="J62" s="66">
        <f>'Gasto estructural'!BH64</f>
        <v>24589.104778112025</v>
      </c>
      <c r="K62" s="230">
        <f>G62+'Gasto estructural'!L64</f>
        <v>-9061.5792896598959</v>
      </c>
      <c r="L62" s="165">
        <f>H62+'Gasto estructural'!I64</f>
        <v>-4292.6430925875766</v>
      </c>
      <c r="M62" s="66">
        <f>'Datos CBE'!D60</f>
        <v>2076.5591840000002</v>
      </c>
      <c r="O62" s="364">
        <f>H62/'Ingreso estructural no oil'!N63</f>
        <v>-5.7408520465746772E-2</v>
      </c>
      <c r="P62" s="364">
        <f>G62/'Ingreso estructural no oil'!N63</f>
        <v>-0.10747808385402911</v>
      </c>
      <c r="Q62" s="364">
        <f>L62/'Ingreso estructural no oil'!N63</f>
        <v>-4.5124129926583427E-2</v>
      </c>
      <c r="R62" s="364">
        <f>K62/'Ingreso estructural no oil'!N63</f>
        <v>-9.5255038070302514E-2</v>
      </c>
      <c r="S62" s="364">
        <v>-3.9418506745629939E-2</v>
      </c>
    </row>
    <row r="63" spans="2:19" x14ac:dyDescent="0.25">
      <c r="B63" s="1" t="s">
        <v>185</v>
      </c>
      <c r="C63" s="141">
        <f>'Ingreso estructural no oil'!BO64</f>
        <v>15827.763255812573</v>
      </c>
      <c r="D63" s="180">
        <v>4971.5534967816102</v>
      </c>
      <c r="E63" s="17">
        <f t="shared" si="2"/>
        <v>15827.763255812573</v>
      </c>
      <c r="F63" s="181">
        <f>'Gasto estructural'!BF65</f>
        <v>26065.537482613356</v>
      </c>
      <c r="G63" s="55">
        <f t="shared" si="4"/>
        <v>-10237.774226800782</v>
      </c>
      <c r="H63" s="163">
        <v>-5552.8025632698864</v>
      </c>
      <c r="I63" s="126">
        <v>-7802.4489680505758</v>
      </c>
      <c r="J63" s="12">
        <f>'Gasto estructural'!BH65</f>
        <v>24822.844313223217</v>
      </c>
      <c r="K63" s="55">
        <f>G63+'Gasto estructural'!L65</f>
        <v>-8995.0810574106436</v>
      </c>
      <c r="L63" s="165">
        <f>H63+'Gasto estructural'!I65</f>
        <v>-4304.2462203541618</v>
      </c>
      <c r="M63" s="66">
        <f>'Datos CBE'!D61</f>
        <v>2325.54274553</v>
      </c>
      <c r="O63" s="142">
        <f>H63/'Ingreso estructural no oil'!N64</f>
        <v>-5.7280012131765277E-2</v>
      </c>
      <c r="P63" s="142">
        <f>G63/'Ingreso estructural no oil'!N64</f>
        <v>-0.1056079025377947</v>
      </c>
      <c r="Q63" s="142">
        <f>L63/'Ingreso estructural no oil'!N64</f>
        <v>-4.4400511797560945E-2</v>
      </c>
      <c r="R63" s="142">
        <f>K63/'Ingreso estructural no oil'!N64</f>
        <v>-9.2788883851704002E-2</v>
      </c>
      <c r="S63" s="142">
        <v>-4.1600618852331593E-2</v>
      </c>
    </row>
    <row r="64" spans="2:19" x14ac:dyDescent="0.25">
      <c r="B64" s="1" t="s">
        <v>186</v>
      </c>
      <c r="C64" s="141">
        <f>'Ingreso estructural no oil'!BO65</f>
        <v>15974.201886674156</v>
      </c>
      <c r="D64" s="180">
        <v>4684.1537192687001</v>
      </c>
      <c r="E64" s="17">
        <f t="shared" si="2"/>
        <v>15974.201886674156</v>
      </c>
      <c r="F64" s="181">
        <f>'Gasto estructural'!BF66</f>
        <v>26140.783101443201</v>
      </c>
      <c r="G64" s="55">
        <f t="shared" si="4"/>
        <v>-10166.581214769045</v>
      </c>
      <c r="H64" s="163">
        <v>-5370.977153321699</v>
      </c>
      <c r="I64" s="126">
        <v>-7787.2988791241005</v>
      </c>
      <c r="J64" s="12">
        <f>'Gasto estructural'!BH66</f>
        <v>24897.119481672009</v>
      </c>
      <c r="K64" s="55">
        <f>G64+'Gasto estructural'!L66</f>
        <v>-8922.9175949978526</v>
      </c>
      <c r="L64" s="165">
        <f>H64+'Gasto estructural'!I66</f>
        <v>-4128.1729050587601</v>
      </c>
      <c r="M64" s="66">
        <f>'Datos CBE'!D62</f>
        <v>3113.1880415300002</v>
      </c>
      <c r="O64" s="142">
        <f>H64/'Ingreso estructural no oil'!N65</f>
        <v>-5.4228564824898177E-2</v>
      </c>
      <c r="P64" s="142">
        <f>G64/'Ingreso estructural no oil'!N65</f>
        <v>-0.1026478223076652</v>
      </c>
      <c r="Q64" s="142">
        <f>L64/'Ingreso estructural no oil'!N65</f>
        <v>-4.1680477425214371E-2</v>
      </c>
      <c r="R64" s="142">
        <f>K64/'Ingreso estructural no oil'!N65</f>
        <v>-9.0091058184507494E-2</v>
      </c>
      <c r="S64" s="142">
        <v>-4.2819972701883778E-2</v>
      </c>
    </row>
    <row r="65" spans="1:19" x14ac:dyDescent="0.25">
      <c r="B65" s="1" t="s">
        <v>187</v>
      </c>
      <c r="C65" s="141">
        <f>'Ingreso estructural no oil'!BO66</f>
        <v>16179.514758761243</v>
      </c>
      <c r="D65" s="180">
        <v>4370.4411714736498</v>
      </c>
      <c r="E65" s="17">
        <f t="shared" si="2"/>
        <v>16179.514758761243</v>
      </c>
      <c r="F65" s="181">
        <f>'Gasto estructural'!BF67</f>
        <v>26460.379980737263</v>
      </c>
      <c r="G65" s="55">
        <f t="shared" si="4"/>
        <v>-10280.865221976021</v>
      </c>
      <c r="H65" s="163">
        <v>-6152.6690467513017</v>
      </c>
      <c r="I65" s="126">
        <v>-8006.4635493240748</v>
      </c>
      <c r="J65" s="12">
        <f>'Gasto estructural'!BH67</f>
        <v>25177.12221071589</v>
      </c>
      <c r="K65" s="55">
        <f>G65+'Gasto estructural'!L67</f>
        <v>-8997.6074519546455</v>
      </c>
      <c r="L65" s="165">
        <f>H65+'Gasto estructural'!I67</f>
        <v>-4850.9298527913397</v>
      </c>
      <c r="M65" s="66">
        <f>'Datos CBE'!D63</f>
        <v>3684.4016235300001</v>
      </c>
      <c r="O65" s="175">
        <f>H65/'Ingreso estructural no oil'!N66</f>
        <v>-6.1070094410345568E-2</v>
      </c>
      <c r="P65" s="142">
        <f>G65/'Ingreso estructural no oil'!N66</f>
        <v>-0.10204569837177081</v>
      </c>
      <c r="Q65" s="142">
        <f>L65/'Ingreso estructural no oil'!N66</f>
        <v>-4.8149305908848361E-2</v>
      </c>
      <c r="R65" s="142">
        <f>K65/'Ingreso estructural no oil'!N66</f>
        <v>-8.9308352583702663E-2</v>
      </c>
      <c r="S65" s="142">
        <v>-4.5884468199549298E-2</v>
      </c>
    </row>
    <row r="66" spans="1:19" s="48" customFormat="1" x14ac:dyDescent="0.25">
      <c r="B66" s="222" t="s">
        <v>188</v>
      </c>
      <c r="C66" s="363">
        <f>'Ingreso estructural no oil'!BO67</f>
        <v>16289.228856211375</v>
      </c>
      <c r="D66" s="165">
        <v>4036.2234872450995</v>
      </c>
      <c r="E66" s="165">
        <f t="shared" si="2"/>
        <v>16289.228856211375</v>
      </c>
      <c r="F66" s="66">
        <f>'Gasto estructural'!BF68</f>
        <v>26601.957713642587</v>
      </c>
      <c r="G66" s="230">
        <f t="shared" si="4"/>
        <v>-10312.728857431212</v>
      </c>
      <c r="H66" s="163">
        <v>-6413.2310569499132</v>
      </c>
      <c r="I66" s="48">
        <v>-8841.4585189469435</v>
      </c>
      <c r="J66" s="66">
        <f>'Gasto estructural'!BH68</f>
        <v>25294.354041045732</v>
      </c>
      <c r="K66" s="230">
        <f>G66+'Gasto estructural'!L68</f>
        <v>-9005.1251848343545</v>
      </c>
      <c r="L66" s="165">
        <f>H66+'Gasto estructural'!I68</f>
        <v>-5016.1508439442514</v>
      </c>
      <c r="M66" s="66">
        <f>'Datos CBE'!D64</f>
        <v>3706.6444005300004</v>
      </c>
      <c r="O66" s="365">
        <f>H66/'Ingreso estructural no oil'!N67</f>
        <v>-6.3043963091030122E-2</v>
      </c>
      <c r="P66" s="364">
        <f>G66/'Ingreso estructural no oil'!N67</f>
        <v>-0.10137718284001819</v>
      </c>
      <c r="Q66" s="364">
        <f>L66/'Ingreso estructural no oil'!N67</f>
        <v>-4.9310250302296375E-2</v>
      </c>
      <c r="R66" s="364">
        <f>K66/'Ingreso estructural no oil'!N67</f>
        <v>-8.8523050977178705E-2</v>
      </c>
      <c r="S66" s="364">
        <v>-4.8923672132827355E-2</v>
      </c>
    </row>
    <row r="67" spans="1:19" x14ac:dyDescent="0.25">
      <c r="B67" s="1" t="s">
        <v>144</v>
      </c>
      <c r="C67" s="141">
        <f>'Ingreso estructural no oil'!BO68</f>
        <v>16332.586794733939</v>
      </c>
      <c r="D67" s="165">
        <v>3693.1869898664299</v>
      </c>
      <c r="E67" s="17">
        <f t="shared" si="2"/>
        <v>16332.586794733939</v>
      </c>
      <c r="F67" s="181">
        <f>'Gasto estructural'!BF69</f>
        <v>27006.404350162087</v>
      </c>
      <c r="G67" s="55">
        <f t="shared" si="4"/>
        <v>-10673.817555428148</v>
      </c>
      <c r="H67" s="163">
        <v>-6286.4937417891251</v>
      </c>
      <c r="I67" s="126">
        <v>-10138.095834868771</v>
      </c>
      <c r="J67" s="12">
        <f>'Gasto estructural'!BH69</f>
        <v>25514.404350162087</v>
      </c>
      <c r="K67" s="55">
        <f>G67+'Gasto estructural'!L69</f>
        <v>-9181.8175554281479</v>
      </c>
      <c r="L67" s="165">
        <f>H67+'Gasto estructural'!I69</f>
        <v>-4799.9073066204955</v>
      </c>
      <c r="M67" s="66">
        <f>'Datos CBE'!D65</f>
        <v>4671.2794610000001</v>
      </c>
      <c r="O67" s="175">
        <f>H67/'Ingreso estructural no oil'!N68</f>
        <v>-6.1663983246263335E-2</v>
      </c>
      <c r="P67" s="142">
        <f>G67/'Ingreso estructural no oil'!N68</f>
        <v>-0.10469907931925707</v>
      </c>
      <c r="Q67" s="142">
        <f>L67/'Ingreso estructural no oil'!N68</f>
        <v>-4.7082112206927519E-2</v>
      </c>
      <c r="R67" s="142">
        <f>K67/'Ingreso estructural no oil'!N68</f>
        <v>-9.0064106823883022E-2</v>
      </c>
      <c r="S67" s="142">
        <v>-5.3972430715933738E-2</v>
      </c>
    </row>
    <row r="68" spans="1:19" x14ac:dyDescent="0.25">
      <c r="B68" s="1" t="s">
        <v>147</v>
      </c>
      <c r="C68" s="141">
        <f>'Ingreso estructural no oil'!BO69</f>
        <v>17017.388829814299</v>
      </c>
      <c r="D68" s="180">
        <v>3356.1862291786501</v>
      </c>
      <c r="E68" s="17">
        <f t="shared" si="2"/>
        <v>17017.388829814299</v>
      </c>
      <c r="F68" s="181">
        <f>'Gasto estructural'!BF70</f>
        <v>27349.20330584162</v>
      </c>
      <c r="G68" s="230">
        <f t="shared" si="4"/>
        <v>-10331.814476027321</v>
      </c>
      <c r="H68" s="163">
        <v>-6596.8621466709956</v>
      </c>
      <c r="I68" s="126">
        <v>-10237.616522846205</v>
      </c>
      <c r="J68" s="12">
        <f>'Gasto estructural'!BH70</f>
        <v>25780.20330584162</v>
      </c>
      <c r="K68" s="55">
        <f>G68+'Gasto estructural'!L70</f>
        <v>-8762.8144760273208</v>
      </c>
      <c r="L68" s="165">
        <f>H68+'Gasto estructural'!I70</f>
        <v>-4990.6900986320416</v>
      </c>
      <c r="M68" s="66">
        <f>'Datos CBE'!D66</f>
        <v>4640.8841080000002</v>
      </c>
      <c r="O68" s="175">
        <f>H68/'Ingreso estructural no oil'!N69</f>
        <v>-6.4999803938985634E-2</v>
      </c>
      <c r="P68" s="142">
        <f>G68/'Ingreso estructural no oil'!N69</f>
        <v>-0.10180081080133603</v>
      </c>
      <c r="Q68" s="142">
        <f>L68/'Ingreso estructural no oil'!N69</f>
        <v>-4.9173966458435081E-2</v>
      </c>
      <c r="R68" s="142">
        <f>K68/'Ingreso estructural no oil'!N69</f>
        <v>-8.6341234700942085E-2</v>
      </c>
      <c r="S68" s="142">
        <v>-5.3348628785149191E-2</v>
      </c>
    </row>
    <row r="69" spans="1:19" x14ac:dyDescent="0.25">
      <c r="B69" s="1" t="s">
        <v>148</v>
      </c>
      <c r="C69" s="141">
        <f>'Ingreso estructural no oil'!BO70</f>
        <v>17182.1286005074</v>
      </c>
      <c r="D69" s="180">
        <v>3041.5650966634898</v>
      </c>
      <c r="E69" s="17">
        <f t="shared" si="2"/>
        <v>17182.1286005074</v>
      </c>
      <c r="F69" s="181">
        <f>'Gasto estructural'!BF71</f>
        <v>25416.237729250701</v>
      </c>
      <c r="G69" s="231">
        <f t="shared" si="4"/>
        <v>-8234.109128743301</v>
      </c>
      <c r="H69" s="163">
        <v>-4513.4032296990908</v>
      </c>
      <c r="I69" s="126">
        <v>-10083.642142346014</v>
      </c>
      <c r="J69" s="12">
        <f>'Gasto estructural'!BH71</f>
        <v>23556.760652311714</v>
      </c>
      <c r="K69" s="55">
        <f>G69+'Gasto estructural'!L71</f>
        <v>-6374.6320518043121</v>
      </c>
      <c r="L69" s="165">
        <f>H69+'Gasto estructural'!I71</f>
        <v>-2768.3186916526934</v>
      </c>
      <c r="M69" s="66">
        <f>'Datos CBE'!D67</f>
        <v>4036.9082039999994</v>
      </c>
      <c r="O69" s="142">
        <f>H69/'Ingreso estructural no oil'!N70</f>
        <v>-4.498678290877739E-2</v>
      </c>
      <c r="P69" s="142">
        <f>G69/'Ingreso estructural no oil'!N70</f>
        <v>-8.2072454192543609E-2</v>
      </c>
      <c r="Q69" s="142">
        <f>L69/'Ingreso estructural no oil'!N70</f>
        <v>-2.7592870759742268E-2</v>
      </c>
      <c r="R69" s="142">
        <f>K69/'Ingreso estructural no oil'!N70</f>
        <v>-6.3538348701224739E-2</v>
      </c>
      <c r="S69" s="142">
        <v>-3.3199099885964319E-2</v>
      </c>
    </row>
    <row r="70" spans="1:19" s="48" customFormat="1" x14ac:dyDescent="0.25">
      <c r="B70" s="222" t="s">
        <v>149</v>
      </c>
      <c r="C70" s="363">
        <f>'Ingreso estructural no oil'!BO71</f>
        <v>17282.157372135302</v>
      </c>
      <c r="D70" s="165">
        <v>2761.8561835734904</v>
      </c>
      <c r="E70" s="165">
        <f t="shared" si="2"/>
        <v>17282.157372135302</v>
      </c>
      <c r="F70" s="66">
        <f>'Gasto estructural'!BF72</f>
        <v>25165.681300197099</v>
      </c>
      <c r="G70" s="231">
        <f t="shared" si="4"/>
        <v>-7883.5239280617971</v>
      </c>
      <c r="H70" s="163">
        <v>-3804.6408068439632</v>
      </c>
      <c r="I70" s="48">
        <v>-10322.191564626279</v>
      </c>
      <c r="J70" s="66">
        <f>'Gasto estructural'!BH72</f>
        <v>23404.130349512463</v>
      </c>
      <c r="K70" s="366">
        <f>G70+'Gasto estructural'!L72</f>
        <v>-6121.9729773771596</v>
      </c>
      <c r="L70" s="165">
        <f>H70+'Gasto estructural'!I72</f>
        <v>-2045.2848247283177</v>
      </c>
      <c r="M70" s="66">
        <f>'Datos CBE'!D68</f>
        <v>5900.9512080000004</v>
      </c>
      <c r="O70" s="364">
        <f>H70/'Ingreso estructural no oil'!N71</f>
        <v>-3.8318322162989416E-2</v>
      </c>
      <c r="P70" s="364">
        <f>G70/'Ingreso estructural no oil'!N71</f>
        <v>-7.9398667309593635E-2</v>
      </c>
      <c r="Q70" s="364">
        <f>L70/'Ingreso estructural no oil'!N71</f>
        <v>-2.0599022827078463E-2</v>
      </c>
      <c r="R70" s="364">
        <f>K70/'Ingreso estructural no oil'!N71</f>
        <v>-6.1657261415656757E-2</v>
      </c>
      <c r="S70" s="364">
        <v>-3.383745472316016E-2</v>
      </c>
    </row>
    <row r="71" spans="1:19" x14ac:dyDescent="0.25">
      <c r="B71" s="1" t="s">
        <v>150</v>
      </c>
      <c r="C71" s="141">
        <f>'Ingreso estructural no oil'!BO72</f>
        <v>17316.7767795447</v>
      </c>
      <c r="D71" s="180">
        <v>2522.3267516475598</v>
      </c>
      <c r="E71" s="17">
        <f t="shared" si="2"/>
        <v>17316.7767795447</v>
      </c>
      <c r="F71" s="181">
        <f>'Gasto estructural'!BF73</f>
        <v>24916.223827521</v>
      </c>
      <c r="G71" s="230">
        <f t="shared" si="4"/>
        <v>-7599.4470479763004</v>
      </c>
      <c r="H71" s="163">
        <v>-4144.5430945543476</v>
      </c>
      <c r="I71" s="126">
        <v>-10178.120102949913</v>
      </c>
      <c r="J71" s="12">
        <f>'Gasto estructural'!BH73</f>
        <v>23387.82531691073</v>
      </c>
      <c r="K71" s="55">
        <f>G71+'Gasto estructural'!L73</f>
        <v>-6071.0485373660285</v>
      </c>
      <c r="L71" s="165">
        <f>H71+'Gasto estructural'!I73</f>
        <v>-2324.9773602410442</v>
      </c>
      <c r="M71" s="66">
        <f>'Datos CBE'!D69</f>
        <v>5235.9923990000007</v>
      </c>
      <c r="O71" s="142">
        <f>H71/'Ingreso estructural no oil'!N72</f>
        <v>-4.1800224985183966E-2</v>
      </c>
      <c r="P71" s="154">
        <f>G71/'Ingreso estructural no oil'!N72</f>
        <v>-7.6645021929144283E-2</v>
      </c>
      <c r="Q71" s="154">
        <f>L71/'Ingreso estructural no oil'!N72</f>
        <v>-2.3448803529447861E-2</v>
      </c>
      <c r="R71" s="154">
        <f>K71/'Ingreso estructural no oil'!N72</f>
        <v>-6.1230198110694134E-2</v>
      </c>
      <c r="S71" s="154">
        <v>-3.3722015050428829E-2</v>
      </c>
    </row>
    <row r="72" spans="1:19" x14ac:dyDescent="0.25">
      <c r="A72" s="70"/>
      <c r="B72" s="1" t="s">
        <v>151</v>
      </c>
      <c r="C72" s="141">
        <f>'Ingreso estructural no oil'!BO73</f>
        <v>17296.851883861</v>
      </c>
      <c r="D72" s="180">
        <v>2324.0056152709503</v>
      </c>
      <c r="E72" s="17">
        <f t="shared" si="2"/>
        <v>17296.851883861</v>
      </c>
      <c r="F72" s="181">
        <f>'Gasto estructural'!BF74</f>
        <v>24584.358209655373</v>
      </c>
      <c r="G72" s="230">
        <f t="shared" si="4"/>
        <v>-7287.506325794373</v>
      </c>
      <c r="H72" s="163">
        <v>-4187.0920907132868</v>
      </c>
      <c r="I72" s="126">
        <v>-9298.6193622791252</v>
      </c>
      <c r="J72" s="149">
        <f>'Gasto estructural'!BH74</f>
        <v>22819.203554372918</v>
      </c>
      <c r="K72" s="153">
        <f>G72+'Gasto estructural'!L74</f>
        <v>-5522.3516705119182</v>
      </c>
      <c r="L72" s="165">
        <f>H72+'Gasto estructural'!I74</f>
        <v>-2356.9973504803074</v>
      </c>
      <c r="M72" s="66">
        <f>'Datos CBE'!D70</f>
        <v>8113.4701380000006</v>
      </c>
      <c r="O72" s="142">
        <f>H72/'Ingreso estructural no oil'!N73</f>
        <v>-4.2297616726815979E-2</v>
      </c>
      <c r="P72" s="154">
        <f>G72/'Ingreso estructural no oil'!N73</f>
        <v>-7.3617714343174809E-2</v>
      </c>
      <c r="Q72" s="154">
        <f>L72/'Ingreso estructural no oil'!N73</f>
        <v>-2.3810169061687231E-2</v>
      </c>
      <c r="R72" s="154">
        <f>K72/'Ingreso estructural no oil'!N73</f>
        <v>-5.5786285405108792E-2</v>
      </c>
      <c r="S72" s="154">
        <v>-3.1825600564110559E-2</v>
      </c>
    </row>
    <row r="73" spans="1:19" x14ac:dyDescent="0.25">
      <c r="B73" s="191" t="s">
        <v>152</v>
      </c>
      <c r="C73" s="141">
        <f>'Ingreso estructural no oil'!BO74</f>
        <v>17240.8949784141</v>
      </c>
      <c r="D73" s="180">
        <v>2163.7661533124997</v>
      </c>
      <c r="E73" s="17">
        <f t="shared" si="2"/>
        <v>17240.8949784141</v>
      </c>
      <c r="F73" s="181">
        <f>'Gasto estructural'!BF75</f>
        <v>24272.79279483471</v>
      </c>
      <c r="G73" s="153">
        <f t="shared" si="4"/>
        <v>-7031.8978164206092</v>
      </c>
      <c r="H73" s="163">
        <v>-5366.1801285698202</v>
      </c>
      <c r="I73" s="126">
        <v>-9050.4621870309966</v>
      </c>
      <c r="J73" s="149">
        <f>'Gasto estructural'!BH75</f>
        <v>22312.79279483471</v>
      </c>
      <c r="K73" s="153">
        <f>G73+'Gasto estructural'!L75</f>
        <v>-5071.8978164206092</v>
      </c>
      <c r="L73" s="165">
        <f>H73+'Gasto estructural'!I75</f>
        <v>-3500.2455922219178</v>
      </c>
      <c r="M73" s="66">
        <f>'Datos CBE'!D71</f>
        <v>9927.2589488900012</v>
      </c>
      <c r="O73" s="142">
        <f>H73/'Ingreso estructural no oil'!N74</f>
        <v>-5.4137011096774691E-2</v>
      </c>
      <c r="P73" s="154">
        <f>G73/'Ingreso estructural no oil'!N74</f>
        <v>-7.094169800453709E-2</v>
      </c>
      <c r="Q73" s="154">
        <f>L73/'Ingreso estructural no oil'!N74</f>
        <v>-3.5312425212617266E-2</v>
      </c>
      <c r="R73" s="154">
        <f>K73/'Ingreso estructural no oil'!N74</f>
        <v>-5.1168127381227037E-2</v>
      </c>
      <c r="S73" s="154">
        <v>-3.2956965943806926E-2</v>
      </c>
    </row>
    <row r="74" spans="1:19" s="48" customFormat="1" x14ac:dyDescent="0.25">
      <c r="B74" s="367" t="s">
        <v>153</v>
      </c>
      <c r="C74" s="363">
        <f>'Ingreso estructural no oil'!BO75</f>
        <v>17168.615837695299</v>
      </c>
      <c r="D74" s="165">
        <v>2035.97658851081</v>
      </c>
      <c r="E74" s="165">
        <f t="shared" si="2"/>
        <v>17168.615837695299</v>
      </c>
      <c r="F74" s="66">
        <f>'Gasto estructural'!BF76</f>
        <v>23770.088438493549</v>
      </c>
      <c r="G74" s="230">
        <f t="shared" si="4"/>
        <v>-6601.4726007982499</v>
      </c>
      <c r="H74" s="163">
        <v>-5547.6963244845683</v>
      </c>
      <c r="I74" s="48">
        <v>-7025.1620344865323</v>
      </c>
      <c r="J74" s="66">
        <f>'Gasto estructural'!BH76</f>
        <v>21724.088438493549</v>
      </c>
      <c r="K74" s="230">
        <f>G74+'Gasto estructural'!L76</f>
        <v>-4555.4726007982499</v>
      </c>
      <c r="L74" s="165">
        <f>H74+'Gasto estructural'!I76</f>
        <v>-3609.9959316048607</v>
      </c>
      <c r="M74" s="66">
        <f>'Datos CBE'!D72</f>
        <v>9627.6724446999997</v>
      </c>
      <c r="O74" s="364">
        <f>H74/'Ingreso estructural no oil'!N75</f>
        <v>-5.5511549160434603E-2</v>
      </c>
      <c r="P74" s="364">
        <f>G74/'Ingreso estructural no oil'!N75</f>
        <v>-6.6055881464370067E-2</v>
      </c>
      <c r="Q74" s="364">
        <f>L74/'Ingreso estructural no oil'!N75</f>
        <v>-3.6122465056677523E-2</v>
      </c>
      <c r="R74" s="364">
        <f>K74/'Ingreso estructural no oil'!N75</f>
        <v>-4.5583126118879609E-2</v>
      </c>
      <c r="S74" s="364">
        <v>-2.5423486423815804E-2</v>
      </c>
    </row>
    <row r="75" spans="1:19" x14ac:dyDescent="0.25">
      <c r="B75" s="1" t="s">
        <v>170</v>
      </c>
      <c r="C75" s="141">
        <f>'Ingreso estructural no oil'!BO76</f>
        <v>17093.598286411801</v>
      </c>
      <c r="D75" s="180">
        <v>1933.3050832134602</v>
      </c>
      <c r="E75" s="17">
        <f t="shared" ref="E75:E81" si="5">C75</f>
        <v>17093.598286411801</v>
      </c>
      <c r="F75" s="181">
        <f>'Gasto estructural'!BF77</f>
        <v>24124.490627843854</v>
      </c>
      <c r="G75" s="55">
        <f t="shared" si="4"/>
        <v>-7030.8923414320525</v>
      </c>
      <c r="H75" s="163">
        <v>-6210.5758693899543</v>
      </c>
      <c r="I75" s="126">
        <v>-6068.5469444114051</v>
      </c>
      <c r="J75" s="12">
        <f>'Gasto estructural'!BH77</f>
        <v>21821.983383074577</v>
      </c>
      <c r="K75" s="55">
        <f>G75+'Gasto estructural'!L77</f>
        <v>-4728.3850966627742</v>
      </c>
      <c r="L75" s="165">
        <f>H75+'Gasto estructural'!I77</f>
        <v>-4083.6048088135281</v>
      </c>
      <c r="M75" s="66">
        <f>'Datos CBE'!D73</f>
        <v>11073.905908699999</v>
      </c>
      <c r="O75" s="142">
        <f>H75/'Ingreso estructural no oil'!N76</f>
        <v>-6.1476008301025169E-2</v>
      </c>
      <c r="P75" s="154">
        <f>G75/'Ingreso estructural no oil'!N76</f>
        <v>-6.9595993195385897E-2</v>
      </c>
      <c r="Q75" s="154">
        <f>L75/'Ingreso estructural no oil'!N76</f>
        <v>-4.0421971875755539E-2</v>
      </c>
      <c r="R75" s="154">
        <f>K75/'Ingreso estructural no oil'!N76</f>
        <v>-4.680439424072879E-2</v>
      </c>
      <c r="S75" s="154">
        <v>-2.8034590932142722E-2</v>
      </c>
    </row>
    <row r="76" spans="1:19" x14ac:dyDescent="0.25">
      <c r="B76" s="1" t="s">
        <v>172</v>
      </c>
      <c r="C76" s="141">
        <f>'Ingreso estructural no oil'!BO77</f>
        <v>16669.076172425684</v>
      </c>
      <c r="D76" s="180">
        <v>1847.2140997833401</v>
      </c>
      <c r="E76" s="17">
        <f t="shared" si="5"/>
        <v>16669.076172425684</v>
      </c>
      <c r="F76" s="181">
        <f>'Gasto estructural'!BF78</f>
        <v>23997.645785375698</v>
      </c>
      <c r="G76" s="55">
        <f t="shared" si="4"/>
        <v>-7328.5696129500138</v>
      </c>
      <c r="H76" s="163">
        <v>-6157.7582636442075</v>
      </c>
      <c r="I76" s="126">
        <v>-6234.3487254817892</v>
      </c>
      <c r="J76" s="12">
        <f>'Gasto estructural'!BH78</f>
        <v>21727.632705969034</v>
      </c>
      <c r="K76" s="55">
        <f>G76+'Gasto estructural'!L78</f>
        <v>-5058.5565335433485</v>
      </c>
      <c r="L76" s="165">
        <f>H76+'Gasto estructural'!I78</f>
        <v>-3940.1876111401548</v>
      </c>
      <c r="M76" s="66">
        <f>'Datos CBE'!D74</f>
        <v>10405.6300257</v>
      </c>
      <c r="O76" s="142">
        <f>H76/'Ingreso estructural no oil'!N77</f>
        <v>-6.0315925471706167E-2</v>
      </c>
      <c r="P76" s="154">
        <f>G76/'Ingreso estructural no oil'!N77</f>
        <v>-7.1784152554132119E-2</v>
      </c>
      <c r="Q76" s="154">
        <f>L76/'Ingreso estructural no oil'!N77</f>
        <v>-3.8594574863584023E-2</v>
      </c>
      <c r="R76" s="154">
        <f>K76/'Ingreso estructural no oil'!N77</f>
        <v>-4.9549122555364103E-2</v>
      </c>
      <c r="S76" s="154">
        <v>-3.1194127196116722E-2</v>
      </c>
    </row>
    <row r="77" spans="1:19" x14ac:dyDescent="0.25">
      <c r="B77" s="1" t="s">
        <v>174</v>
      </c>
      <c r="C77" s="141">
        <f>'Ingreso estructural no oil'!BO78</f>
        <v>16722.821638734782</v>
      </c>
      <c r="D77" s="180">
        <v>1770.0736392199799</v>
      </c>
      <c r="E77" s="17">
        <f t="shared" si="5"/>
        <v>16722.821638734782</v>
      </c>
      <c r="F77" s="181">
        <f>'Gasto estructural'!BF79</f>
        <v>24036.173251590193</v>
      </c>
      <c r="G77" s="55">
        <f t="shared" si="4"/>
        <v>-7313.3516128554111</v>
      </c>
      <c r="H77" s="163">
        <v>-5536.0226322718563</v>
      </c>
      <c r="I77" s="126">
        <v>-6101.0512720707275</v>
      </c>
      <c r="J77" s="12">
        <f>'Gasto estructural'!BH79</f>
        <v>21620.047331651556</v>
      </c>
      <c r="K77" s="55">
        <f>G77+'Gasto estructural'!L79</f>
        <v>-4897.2256929167752</v>
      </c>
      <c r="L77" s="165">
        <f>H77+'Gasto estructural'!I79</f>
        <v>-3142.7966184595425</v>
      </c>
      <c r="M77" s="66">
        <f>'Datos CBE'!D75</f>
        <v>9119.3038128099997</v>
      </c>
      <c r="O77" s="142">
        <f>H77/'Ingreso estructural no oil'!N78</f>
        <v>-5.3673840416339928E-2</v>
      </c>
      <c r="P77" s="142">
        <f>G77/'Ingreso estructural no oil'!N78</f>
        <v>-7.0905719403805245E-2</v>
      </c>
      <c r="Q77" s="142">
        <f>L77/'Ingreso estructural no oil'!N78</f>
        <v>-3.047060595035635E-2</v>
      </c>
      <c r="R77" s="142">
        <f>K77/'Ingreso estructural no oil'!N78</f>
        <v>-4.7480461657098738E-2</v>
      </c>
      <c r="S77" s="142">
        <v>-2.9262079021023901E-2</v>
      </c>
    </row>
    <row r="78" spans="1:19" s="48" customFormat="1" x14ac:dyDescent="0.25">
      <c r="B78" s="222" t="s">
        <v>190</v>
      </c>
      <c r="C78" s="363">
        <f>'Ingreso estructural no oil'!BO79</f>
        <v>16611.018066638499</v>
      </c>
      <c r="D78" s="165">
        <v>1696.4379664825801</v>
      </c>
      <c r="E78" s="165">
        <f t="shared" si="5"/>
        <v>16611.018066638499</v>
      </c>
      <c r="F78" s="66">
        <f>'Gasto estructural'!BF80</f>
        <v>24585.946669921057</v>
      </c>
      <c r="G78" s="230">
        <f t="shared" si="4"/>
        <v>-7974.9286032825585</v>
      </c>
      <c r="H78" s="163">
        <v>-6140.4</v>
      </c>
      <c r="I78" s="48">
        <v>-7118.3454411298198</v>
      </c>
      <c r="J78" s="66">
        <f>'Gasto estructural'!BH80</f>
        <v>22125.053059640552</v>
      </c>
      <c r="K78" s="230">
        <f>G78+'Gasto estructural'!L80</f>
        <v>-5514.0349930020529</v>
      </c>
      <c r="M78" s="66">
        <f>'Datos CBE'!D76</f>
        <v>7493.2665449999995</v>
      </c>
      <c r="O78" s="142">
        <f>H78/'Ingreso estructural no oil'!N79</f>
        <v>-5.8874819022062451E-2</v>
      </c>
      <c r="P78" s="364">
        <f>G78/'Ingreso estructural no oil'!N79</f>
        <v>-7.6464477596268954E-2</v>
      </c>
      <c r="Q78" s="142">
        <f>L78/'Ingreso estructural no oil'!N79</f>
        <v>0</v>
      </c>
      <c r="R78" s="364">
        <f>K78/'Ingreso estructural no oil'!N79</f>
        <v>-5.2869163620336668E-2</v>
      </c>
      <c r="S78" s="364">
        <v>-2.7090826165980814E-2</v>
      </c>
    </row>
    <row r="79" spans="1:19" x14ac:dyDescent="0.25">
      <c r="B79" s="222" t="s">
        <v>252</v>
      </c>
      <c r="C79" s="363">
        <f>'Ingreso estructural no oil'!BO80</f>
        <v>16664.144683276914</v>
      </c>
      <c r="E79" s="165">
        <f t="shared" si="5"/>
        <v>16664.144683276914</v>
      </c>
      <c r="F79" s="66">
        <f>'Gasto estructural'!BF81</f>
        <v>23926.3561267572</v>
      </c>
      <c r="G79" s="230">
        <f t="shared" si="4"/>
        <v>-7262.2114434802861</v>
      </c>
      <c r="H79" s="371">
        <v>-5526.0482511916525</v>
      </c>
      <c r="J79" s="66">
        <f>'Gasto estructural'!BH81</f>
        <v>21434.465778306247</v>
      </c>
      <c r="K79" s="230">
        <f>G79+'Gasto estructural'!L81</f>
        <v>-4770.3210950293342</v>
      </c>
      <c r="O79" s="142">
        <f>H79/'Ingreso estructural no oil'!N80</f>
        <v>-5.2534294619426283E-2</v>
      </c>
      <c r="P79" s="364">
        <f>G79/'Ingreso estructural no oil'!N80</f>
        <v>-6.9039418082911488E-2</v>
      </c>
      <c r="Q79" s="142">
        <f>L79/'Ingreso estructural no oil'!N80</f>
        <v>0</v>
      </c>
      <c r="R79" s="364">
        <f>K79/'Ingreso estructural no oil'!N80</f>
        <v>-4.5349849013984624E-2</v>
      </c>
      <c r="S79" s="364">
        <v>-2.7090826165980814E-2</v>
      </c>
    </row>
    <row r="80" spans="1:19" x14ac:dyDescent="0.25">
      <c r="B80" s="222" t="s">
        <v>250</v>
      </c>
      <c r="C80" s="363">
        <f>'Ingreso estructural no oil'!BO81</f>
        <v>16893.7463922772</v>
      </c>
      <c r="E80" s="165">
        <f t="shared" si="5"/>
        <v>16893.7463922772</v>
      </c>
      <c r="F80" s="66">
        <f>'Gasto estructural'!BF82</f>
        <v>23734.504784389304</v>
      </c>
      <c r="G80" s="230">
        <f t="shared" si="4"/>
        <v>-6840.758392112104</v>
      </c>
      <c r="H80" s="371">
        <v>-5120.8383757251177</v>
      </c>
      <c r="J80" s="66">
        <f>'Gasto estructural'!BH82</f>
        <v>21147.699971948554</v>
      </c>
      <c r="K80" s="230">
        <f>G80+'Gasto estructural'!L82</f>
        <v>-4253.9535796713526</v>
      </c>
      <c r="O80" s="142">
        <f>H80/'Ingreso estructural no oil'!N81</f>
        <v>-4.8326510587323304E-2</v>
      </c>
      <c r="P80" s="364">
        <f>G80/'Ingreso estructural no oil'!N81</f>
        <v>-6.4557784996468345E-2</v>
      </c>
      <c r="Q80" s="142">
        <f>L80/'Ingreso estructural no oil'!N81</f>
        <v>0</v>
      </c>
      <c r="R80" s="364">
        <f>K80/'Ingreso estructural no oil'!N81</f>
        <v>-4.0145522592647587E-2</v>
      </c>
      <c r="S80" s="364">
        <v>-2.7090826165980814E-2</v>
      </c>
    </row>
    <row r="81" spans="2:19" x14ac:dyDescent="0.25">
      <c r="B81" s="222" t="s">
        <v>251</v>
      </c>
      <c r="C81" s="363">
        <f>'Ingreso estructural no oil'!BO82</f>
        <v>17277.354404338112</v>
      </c>
      <c r="E81" s="165">
        <f t="shared" si="5"/>
        <v>17277.354404338112</v>
      </c>
      <c r="F81" s="66">
        <f>'Gasto estructural'!BF83</f>
        <v>24374.385271182262</v>
      </c>
      <c r="G81" s="230">
        <f t="shared" si="4"/>
        <v>-7097.0308668441503</v>
      </c>
      <c r="H81" s="371">
        <v>-5423.1928529206807</v>
      </c>
      <c r="J81" s="66">
        <f>'Gasto estructural'!BH83</f>
        <v>21606.470404903099</v>
      </c>
      <c r="K81" s="230">
        <f>G81+'Gasto estructural'!L83</f>
        <v>-4329.1160005649854</v>
      </c>
      <c r="O81" s="142">
        <f>H81/'Ingreso estructural no oil'!N82</f>
        <v>-5.0556512064055023E-2</v>
      </c>
      <c r="P81" s="364">
        <f>G81/'Ingreso estructural no oil'!N82</f>
        <v>-6.616049555481758E-2</v>
      </c>
      <c r="Q81" s="142">
        <f>L81/'Ingreso estructural no oil'!N82</f>
        <v>0</v>
      </c>
      <c r="R81" s="364">
        <f>K81/'Ingreso estructural no oil'!N82</f>
        <v>-4.0357223363610743E-2</v>
      </c>
      <c r="S81" s="364">
        <v>-2.7090826165980814E-2</v>
      </c>
    </row>
    <row r="82" spans="2:19" x14ac:dyDescent="0.25">
      <c r="B82" s="222" t="s">
        <v>253</v>
      </c>
      <c r="C82" s="363">
        <f>'Ingreso estructural no oil'!BO83</f>
        <v>18023.006672857722</v>
      </c>
      <c r="E82" s="165">
        <f>C82</f>
        <v>18023.006672857722</v>
      </c>
      <c r="F82" s="66">
        <f>'Gasto estructural'!BF84</f>
        <v>24215.616659657382</v>
      </c>
      <c r="G82" s="230">
        <f t="shared" si="4"/>
        <v>-6192.60998679966</v>
      </c>
      <c r="H82" s="371">
        <v>-3921.315972228922</v>
      </c>
      <c r="J82" s="66">
        <f>'Gasto estructural'!BH84</f>
        <v>21269.701407009248</v>
      </c>
      <c r="K82" s="230">
        <f>G82+'Gasto estructural'!L84</f>
        <v>-3246.6947341515256</v>
      </c>
      <c r="O82" s="142">
        <f>H82/'Ingreso estructural no oil'!N83</f>
        <v>-3.6175149671306119E-2</v>
      </c>
      <c r="P82" s="364">
        <f>G82/'Ingreso estructural no oil'!N83</f>
        <v>-5.7128421865266808E-2</v>
      </c>
      <c r="Q82" s="142">
        <f>L82/'Ingreso estructural no oil'!N83</f>
        <v>0</v>
      </c>
      <c r="R82" s="364">
        <f>K82/'Ingreso estructural no oil'!N83</f>
        <v>-2.9951595019825222E-2</v>
      </c>
    </row>
    <row r="83" spans="2:19" x14ac:dyDescent="0.25">
      <c r="B83">
        <v>2019</v>
      </c>
      <c r="C83" s="383">
        <f>'Ingreso estructural no oil'!BO84</f>
        <v>17496.98558067617</v>
      </c>
      <c r="D83" s="381">
        <f>0.3*7649</f>
        <v>2294.6999999999998</v>
      </c>
      <c r="E83" s="384">
        <f>C83+D83</f>
        <v>19791.685580676171</v>
      </c>
      <c r="F83" s="382">
        <f>'Gasto estructural'!BF85</f>
        <v>23033.716247550914</v>
      </c>
      <c r="G83" s="389">
        <f t="shared" si="4"/>
        <v>-3242.0306668747435</v>
      </c>
      <c r="K83" s="390">
        <f>G83+'Indicador Blanchard'!E86+'Indicador Blanchard'!J864</f>
        <v>-2848.0306668747435</v>
      </c>
      <c r="R83" s="391">
        <f>K83/'Ingreso estructural no oil'!N84</f>
        <v>-2.679515911218229E-2</v>
      </c>
    </row>
    <row r="84" spans="2:19" x14ac:dyDescent="0.25">
      <c r="B84">
        <v>2020</v>
      </c>
      <c r="C84" s="383">
        <f>'Ingreso estructural no oil'!BO85</f>
        <v>18423.995391575598</v>
      </c>
      <c r="D84" s="381">
        <f>0.3*9332</f>
        <v>2799.6</v>
      </c>
      <c r="E84" s="384">
        <f t="shared" ref="E84:E92" si="6">C84+D84</f>
        <v>21223.595391575596</v>
      </c>
      <c r="F84" s="382">
        <f>'Gasto estructural'!BF86</f>
        <v>22902.813210508561</v>
      </c>
      <c r="G84" s="389">
        <f t="shared" si="4"/>
        <v>-1679.2178189329643</v>
      </c>
      <c r="K84" s="390">
        <f>G84+'Indicador Blanchard'!E87+'Indicador Blanchard'!J865</f>
        <v>-1274.2178189329643</v>
      </c>
      <c r="R84" s="391">
        <f>K84/'Ingreso estructural no oil'!N85</f>
        <v>-1.1827882845381643E-2</v>
      </c>
    </row>
    <row r="85" spans="2:19" x14ac:dyDescent="0.25">
      <c r="B85" s="126">
        <v>2021</v>
      </c>
      <c r="C85" s="383">
        <f>'Ingreso estructural no oil'!BO86</f>
        <v>19223.739987537258</v>
      </c>
      <c r="D85" s="381">
        <f>0.3*7717</f>
        <v>2315.1</v>
      </c>
      <c r="E85" s="384">
        <f t="shared" si="6"/>
        <v>21538.839987537256</v>
      </c>
      <c r="F85" s="382">
        <f>'Gasto estructural'!BF87</f>
        <v>22254.169445171887</v>
      </c>
      <c r="G85" s="389">
        <f t="shared" si="4"/>
        <v>-715.32945763463067</v>
      </c>
      <c r="K85" s="390">
        <f>G85+'Indicador Blanchard'!E88+'Indicador Blanchard'!J866</f>
        <v>-352.32945763463067</v>
      </c>
      <c r="R85" s="391">
        <f>K85/'Ingreso estructural no oil'!N86</f>
        <v>-3.1864544739093493E-3</v>
      </c>
    </row>
    <row r="86" spans="2:19" x14ac:dyDescent="0.25">
      <c r="B86" s="126">
        <v>2022</v>
      </c>
      <c r="C86" s="383">
        <f>'Ingreso estructural no oil'!BO87</f>
        <v>20134.458140034389</v>
      </c>
      <c r="D86" s="381">
        <f>0.3*7722</f>
        <v>2316.6</v>
      </c>
      <c r="E86" s="384">
        <f t="shared" si="6"/>
        <v>22451.058140034387</v>
      </c>
      <c r="F86" s="382">
        <f>'Gasto estructural'!BF88</f>
        <v>23796.272038350235</v>
      </c>
      <c r="G86" s="389">
        <f t="shared" si="4"/>
        <v>-1345.2138983158475</v>
      </c>
      <c r="K86" s="390">
        <f>G86+'Indicador Blanchard'!E89+'Indicador Blanchard'!J867</f>
        <v>-1027.2138983158475</v>
      </c>
      <c r="R86" s="391">
        <f>K86/'Ingreso estructural no oil'!N87</f>
        <v>-8.9491814843299742E-3</v>
      </c>
    </row>
    <row r="87" spans="2:19" x14ac:dyDescent="0.25">
      <c r="B87" s="126">
        <v>2023</v>
      </c>
      <c r="C87" s="383">
        <f>'Ingreso estructural no oil'!BO88</f>
        <v>20579.898882437719</v>
      </c>
      <c r="D87" s="381">
        <f>0.3*7831</f>
        <v>2349.2999999999997</v>
      </c>
      <c r="E87" s="384">
        <f t="shared" si="6"/>
        <v>22929.198882437719</v>
      </c>
      <c r="F87" s="382">
        <f>'Gasto estructural'!BF89</f>
        <v>23713.22855586564</v>
      </c>
      <c r="G87" s="389">
        <f t="shared" si="4"/>
        <v>-784.02967342792181</v>
      </c>
      <c r="K87" s="390">
        <f>G87+'Indicador Blanchard'!E90+'Indicador Blanchard'!J868</f>
        <v>-518.02967342792181</v>
      </c>
      <c r="R87" s="391">
        <f>K87/'Ingreso estructural no oil'!N88</f>
        <v>-4.3714846452205178E-3</v>
      </c>
    </row>
    <row r="88" spans="2:19" x14ac:dyDescent="0.25">
      <c r="C88" s="383">
        <v>17496.98558067617</v>
      </c>
      <c r="D88" s="381">
        <f>0.25*7649</f>
        <v>1912.25</v>
      </c>
      <c r="E88" s="396">
        <f t="shared" si="6"/>
        <v>19409.23558067617</v>
      </c>
      <c r="F88" s="382">
        <v>23033.716247550914</v>
      </c>
      <c r="G88" s="397">
        <f t="shared" si="4"/>
        <v>-3624.4806668747442</v>
      </c>
      <c r="K88" s="398">
        <f>G88+'Indicador Blanchard'!E91+'Indicador Blanchard'!J869</f>
        <v>-3230.4806668747442</v>
      </c>
      <c r="R88" s="391">
        <f>K88/'Ingreso estructural no oil'!N89</f>
        <v>-3.0513943334448651E-2</v>
      </c>
    </row>
    <row r="89" spans="2:19" x14ac:dyDescent="0.25">
      <c r="C89" s="383">
        <v>18423.995391575598</v>
      </c>
      <c r="D89" s="381">
        <f>0.25*9332</f>
        <v>2333</v>
      </c>
      <c r="E89" s="396">
        <f t="shared" si="6"/>
        <v>20756.995391575598</v>
      </c>
      <c r="F89" s="382">
        <v>22902.813210508561</v>
      </c>
      <c r="G89" s="397">
        <f t="shared" si="4"/>
        <v>-2145.8178189329628</v>
      </c>
      <c r="K89" s="398">
        <f>G89+'Indicador Blanchard'!E92+'Indicador Blanchard'!J870</f>
        <v>-1740.8178189329628</v>
      </c>
      <c r="R89" s="391">
        <f>K89/'Ingreso estructural no oil'!N90</f>
        <v>-1.6342177923387088E-2</v>
      </c>
    </row>
    <row r="90" spans="2:19" x14ac:dyDescent="0.25">
      <c r="C90" s="383">
        <v>19223.739987537258</v>
      </c>
      <c r="D90" s="381">
        <f>0.25*7717</f>
        <v>1929.25</v>
      </c>
      <c r="E90" s="396">
        <f t="shared" si="6"/>
        <v>21152.989987537258</v>
      </c>
      <c r="F90" s="382">
        <v>22254.169445171887</v>
      </c>
      <c r="G90" s="397">
        <f t="shared" si="4"/>
        <v>-1101.1794576346292</v>
      </c>
      <c r="K90" s="398">
        <f>G90+'Indicador Blanchard'!E93+'Indicador Blanchard'!J871</f>
        <v>-738.17945763462922</v>
      </c>
      <c r="R90" s="391">
        <f>K90/'Ingreso estructural no oil'!N91</f>
        <v>-6.8521252913267359E-3</v>
      </c>
    </row>
    <row r="91" spans="2:19" x14ac:dyDescent="0.25">
      <c r="C91" s="383">
        <v>20134.458140034389</v>
      </c>
      <c r="D91" s="381">
        <f>0.25*7722</f>
        <v>1930.5</v>
      </c>
      <c r="E91" s="396">
        <f t="shared" si="6"/>
        <v>22064.958140034389</v>
      </c>
      <c r="F91" s="382">
        <v>23796.272038350235</v>
      </c>
      <c r="G91" s="397">
        <f t="shared" si="4"/>
        <v>-1731.313898315846</v>
      </c>
      <c r="K91" s="398">
        <f>G91+'Indicador Blanchard'!E94+'Indicador Blanchard'!J872</f>
        <v>-1413.313898315846</v>
      </c>
      <c r="R91" s="391">
        <f>K91/'Ingreso estructural no oil'!N92</f>
        <v>-1.2781958183572962E-2</v>
      </c>
    </row>
    <row r="92" spans="2:19" x14ac:dyDescent="0.25">
      <c r="C92" s="383">
        <v>20579.898882437719</v>
      </c>
      <c r="D92" s="381">
        <f>0.25*7831</f>
        <v>1957.75</v>
      </c>
      <c r="E92" s="396">
        <f t="shared" si="6"/>
        <v>22537.648882437719</v>
      </c>
      <c r="F92" s="382">
        <v>23713.22855586564</v>
      </c>
      <c r="G92" s="397">
        <f t="shared" si="4"/>
        <v>-1175.5796734279211</v>
      </c>
      <c r="K92" s="398">
        <f>G92+'Indicador Blanchard'!E95+'Indicador Blanchard'!J873</f>
        <v>-909.57967342792108</v>
      </c>
      <c r="R92" s="391">
        <f>K92/'Ingreso estructural no oil'!N93</f>
        <v>-7.9243413521856119E-3</v>
      </c>
    </row>
    <row r="119" spans="5:74" x14ac:dyDescent="0.25">
      <c r="E119">
        <v>-1723.6</v>
      </c>
      <c r="F119">
        <v>-1555.5</v>
      </c>
      <c r="G119">
        <v>-1478.8999999999999</v>
      </c>
      <c r="H119" s="160">
        <v>-1480.8</v>
      </c>
      <c r="I119">
        <v>-1377.7000000000003</v>
      </c>
      <c r="J119">
        <v>-1267.6999999999998</v>
      </c>
      <c r="K119">
        <v>-1280</v>
      </c>
      <c r="L119" s="48">
        <v>-1382.3000000000002</v>
      </c>
      <c r="M119" s="48">
        <v>-1594.7</v>
      </c>
      <c r="N119">
        <v>-1678.1</v>
      </c>
      <c r="O119">
        <v>-1415</v>
      </c>
      <c r="P119">
        <v>-1435</v>
      </c>
      <c r="Q119">
        <v>-1216</v>
      </c>
      <c r="R119">
        <v>-1257.5</v>
      </c>
      <c r="S119">
        <v>-1495.2</v>
      </c>
      <c r="T119">
        <v>-1676.3050467851267</v>
      </c>
      <c r="U119">
        <v>-1690.4099961878014</v>
      </c>
      <c r="V119">
        <v>-1778.0059573614665</v>
      </c>
      <c r="W119">
        <v>-1800.0697090861563</v>
      </c>
      <c r="X119">
        <v>-1894.7802138830946</v>
      </c>
      <c r="Y119">
        <v>-1937.1698740306704</v>
      </c>
      <c r="Z119">
        <v>-1893.0284651820982</v>
      </c>
      <c r="AA119">
        <v>-1877.147097647005</v>
      </c>
      <c r="AB119">
        <v>-1909.734854682581</v>
      </c>
      <c r="AC119">
        <v>-1700.4698849733877</v>
      </c>
      <c r="AD119">
        <v>-1702.9199505372405</v>
      </c>
      <c r="AE119">
        <v>-1750.8483269510805</v>
      </c>
      <c r="AF119">
        <v>-1716.6324480398398</v>
      </c>
      <c r="AG119">
        <v>-1770.8855218375168</v>
      </c>
      <c r="AH119">
        <v>-1652.5875475457321</v>
      </c>
      <c r="AI119">
        <v>-1834.6379069217173</v>
      </c>
      <c r="AJ119">
        <v>-1880.1058967641318</v>
      </c>
      <c r="AK119">
        <v>-1705.2695785039161</v>
      </c>
      <c r="AL119">
        <v>-1917.891035944612</v>
      </c>
      <c r="AM119">
        <v>-1901.4427316968784</v>
      </c>
      <c r="AN119">
        <v>-2125.9306007724281</v>
      </c>
      <c r="AO119">
        <v>-3246.9806526007228</v>
      </c>
      <c r="AP119">
        <v>-3803.871409820365</v>
      </c>
      <c r="AQ119">
        <v>-5256.6184197032635</v>
      </c>
      <c r="AR119">
        <v>-5389.7852573528335</v>
      </c>
      <c r="AS119">
        <v>-5165.357592175802</v>
      </c>
      <c r="AT119">
        <v>-5273.1551594544235</v>
      </c>
      <c r="AU119">
        <v>-4933.1746596276262</v>
      </c>
      <c r="AV119">
        <v>-4354.2120575004319</v>
      </c>
      <c r="AW119">
        <v>-4672.5823918460028</v>
      </c>
      <c r="AX119">
        <v>-4789.5554199547014</v>
      </c>
      <c r="AY119">
        <v>-5542.3771555295752</v>
      </c>
      <c r="AZ119">
        <v>-6769.4654731375413</v>
      </c>
      <c r="BA119">
        <v>-6832.0795357647385</v>
      </c>
      <c r="BB119">
        <v>-7128.6988560011741</v>
      </c>
      <c r="BC119">
        <v>-7207.7099553605667</v>
      </c>
      <c r="BD119">
        <v>-7286.2116458244145</v>
      </c>
      <c r="BE119">
        <v>-7272.0580209496175</v>
      </c>
      <c r="BF119">
        <v>-7214.6808258942237</v>
      </c>
      <c r="BG119">
        <v>-7802.4489680505758</v>
      </c>
      <c r="BH119">
        <v>-7787.2988791241005</v>
      </c>
      <c r="BI119">
        <v>-8006.4635493240748</v>
      </c>
      <c r="BJ119">
        <v>-8841.4585189469435</v>
      </c>
      <c r="BK119">
        <v>-10138.095834868771</v>
      </c>
      <c r="BL119">
        <v>-10237.616522846205</v>
      </c>
      <c r="BM119">
        <v>-10083.642142346014</v>
      </c>
      <c r="BN119">
        <v>-10322.191564626279</v>
      </c>
      <c r="BO119">
        <v>-10178.120102949913</v>
      </c>
      <c r="BP119">
        <v>-9298.6193622791252</v>
      </c>
      <c r="BQ119">
        <v>-9050.4621870309966</v>
      </c>
      <c r="BR119">
        <v>-7025.1620344865323</v>
      </c>
      <c r="BS119">
        <v>-6068.5469444114051</v>
      </c>
      <c r="BT119">
        <v>-6234.3487254817892</v>
      </c>
      <c r="BU119">
        <v>-6101.0512720707275</v>
      </c>
      <c r="BV119">
        <v>-7118.3454411298198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26"/>
  <sheetViews>
    <sheetView zoomScale="112" zoomScaleNormal="112" zoomScalePageLayoutView="90" workbookViewId="0">
      <pane xSplit="1" ySplit="1" topLeftCell="B74" activePane="bottomRight" state="frozen"/>
      <selection pane="topRight" activeCell="B1" sqref="B1"/>
      <selection pane="bottomLeft" activeCell="A2" sqref="A2"/>
      <selection pane="bottomRight" activeCell="B82" sqref="B82"/>
    </sheetView>
  </sheetViews>
  <sheetFormatPr baseColWidth="10" defaultColWidth="11.42578125" defaultRowHeight="15" x14ac:dyDescent="0.25"/>
  <cols>
    <col min="1" max="1" width="10.28515625" style="263" customWidth="1"/>
    <col min="2" max="2" width="15.7109375" style="272" customWidth="1"/>
    <col min="3" max="3" width="25.140625" style="263" bestFit="1" customWidth="1"/>
    <col min="4" max="4" width="18.5703125" style="263" hidden="1" customWidth="1"/>
    <col min="5" max="5" width="12.140625" bestFit="1" customWidth="1"/>
    <col min="6" max="7" width="17.140625" customWidth="1"/>
    <col min="11" max="11" width="16.7109375" customWidth="1"/>
    <col min="12" max="12" width="16.85546875" customWidth="1"/>
    <col min="16" max="16" width="26" customWidth="1"/>
    <col min="17" max="17" width="26" style="126" customWidth="1"/>
    <col min="20" max="20" width="31.85546875" customWidth="1"/>
    <col min="23" max="23" width="13.85546875" customWidth="1"/>
    <col min="24" max="24" width="16.28515625" customWidth="1"/>
  </cols>
  <sheetData>
    <row r="1" spans="1:27" ht="29.25" customHeight="1" thickBot="1" x14ac:dyDescent="0.3">
      <c r="B1" s="264" t="s">
        <v>237</v>
      </c>
      <c r="C1" s="264" t="s">
        <v>239</v>
      </c>
      <c r="D1" s="264" t="s">
        <v>238</v>
      </c>
      <c r="E1" s="102" t="s">
        <v>106</v>
      </c>
      <c r="F1" s="51" t="s">
        <v>171</v>
      </c>
      <c r="G1" s="82" t="s">
        <v>116</v>
      </c>
      <c r="H1" s="82" t="s">
        <v>106</v>
      </c>
      <c r="K1" s="58" t="s">
        <v>119</v>
      </c>
      <c r="L1" s="58" t="s">
        <v>120</v>
      </c>
      <c r="O1" s="58" t="s">
        <v>119</v>
      </c>
      <c r="P1" s="58" t="s">
        <v>120</v>
      </c>
      <c r="Q1" s="58"/>
    </row>
    <row r="2" spans="1:27" s="126" customFormat="1" ht="15.75" thickBot="1" x14ac:dyDescent="0.3">
      <c r="A2" s="265" t="s">
        <v>199</v>
      </c>
      <c r="B2" s="266">
        <v>3999.1339519948174</v>
      </c>
      <c r="C2" s="267"/>
      <c r="D2" s="267"/>
      <c r="E2" s="181"/>
      <c r="F2" s="71"/>
      <c r="G2" s="80"/>
      <c r="H2" s="79"/>
      <c r="K2" s="9"/>
      <c r="L2" s="61"/>
      <c r="O2" s="9"/>
      <c r="P2" s="50"/>
      <c r="Q2" s="50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 s="126" customFormat="1" ht="15.75" thickBot="1" x14ac:dyDescent="0.3">
      <c r="A3" s="265" t="s">
        <v>200</v>
      </c>
      <c r="B3" s="266">
        <v>4071.6890886772226</v>
      </c>
      <c r="C3" s="267"/>
      <c r="D3" s="267"/>
      <c r="E3" s="181"/>
      <c r="F3" s="71"/>
      <c r="G3" s="80"/>
      <c r="H3" s="79"/>
      <c r="K3" s="9"/>
      <c r="L3" s="61"/>
      <c r="O3" s="9"/>
      <c r="P3" s="50"/>
      <c r="Q3" s="50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 s="126" customFormat="1" ht="15.75" thickBot="1" x14ac:dyDescent="0.3">
      <c r="A4" s="265" t="s">
        <v>201</v>
      </c>
      <c r="B4" s="266">
        <v>4078.8522471088768</v>
      </c>
      <c r="C4" s="267"/>
      <c r="D4" s="267"/>
      <c r="E4" s="181"/>
      <c r="F4" s="71"/>
      <c r="G4" s="80"/>
      <c r="H4" s="79"/>
      <c r="K4" s="9"/>
      <c r="L4" s="61"/>
      <c r="O4" s="9"/>
      <c r="P4" s="50"/>
      <c r="Q4" s="50"/>
      <c r="R4" s="57"/>
      <c r="S4" s="57"/>
      <c r="T4" s="57"/>
      <c r="U4" s="57"/>
      <c r="V4" s="57"/>
      <c r="W4" s="57"/>
      <c r="X4" s="57"/>
      <c r="Y4" s="57"/>
      <c r="Z4" s="57"/>
      <c r="AA4" s="57"/>
    </row>
    <row r="5" spans="1:27" s="126" customFormat="1" ht="15.75" thickBot="1" x14ac:dyDescent="0.3">
      <c r="A5" s="265" t="s">
        <v>202</v>
      </c>
      <c r="B5" s="266">
        <v>4164.0237450257755</v>
      </c>
      <c r="C5" s="268">
        <f t="shared" ref="C5:C14" si="0">SUM(B2:B5)</f>
        <v>16313.699032806691</v>
      </c>
      <c r="D5" s="268"/>
      <c r="E5" s="181"/>
      <c r="F5" s="71"/>
      <c r="G5" s="80"/>
      <c r="H5" s="79"/>
      <c r="K5" s="9"/>
      <c r="L5" s="61"/>
      <c r="O5" s="9"/>
      <c r="P5" s="50"/>
      <c r="Q5" s="50"/>
      <c r="R5" s="57"/>
      <c r="S5" s="57"/>
      <c r="T5" s="57"/>
      <c r="U5" s="57"/>
      <c r="V5" s="57"/>
      <c r="W5" s="57"/>
      <c r="X5" s="57"/>
      <c r="Y5" s="57"/>
      <c r="Z5" s="57"/>
      <c r="AA5" s="57"/>
    </row>
    <row r="6" spans="1:27" s="126" customFormat="1" ht="15.75" thickBot="1" x14ac:dyDescent="0.3">
      <c r="A6" s="265" t="s">
        <v>203</v>
      </c>
      <c r="B6" s="266">
        <v>3809.59956571668</v>
      </c>
      <c r="C6" s="268">
        <f t="shared" si="0"/>
        <v>16124.164646528556</v>
      </c>
      <c r="D6" s="268"/>
      <c r="E6" s="181"/>
      <c r="F6" s="71"/>
      <c r="G6" s="80"/>
      <c r="H6" s="79">
        <f>L24</f>
        <v>164.6</v>
      </c>
      <c r="K6" s="9"/>
      <c r="L6" s="61"/>
      <c r="O6" s="9"/>
      <c r="P6" s="50"/>
      <c r="Q6" s="50"/>
      <c r="R6" s="57"/>
      <c r="S6" s="57"/>
      <c r="T6" s="57"/>
      <c r="U6" s="57"/>
      <c r="V6" s="57"/>
      <c r="W6" s="57"/>
      <c r="X6" s="57"/>
      <c r="Y6" s="57"/>
      <c r="Z6" s="57"/>
      <c r="AA6" s="57"/>
    </row>
    <row r="7" spans="1:27" s="126" customFormat="1" ht="15.75" thickBot="1" x14ac:dyDescent="0.3">
      <c r="A7" s="269" t="s">
        <v>204</v>
      </c>
      <c r="B7" s="266">
        <v>3878.7160345606244</v>
      </c>
      <c r="C7" s="268">
        <f t="shared" si="0"/>
        <v>15931.191592411957</v>
      </c>
      <c r="D7" s="268"/>
      <c r="E7" s="181"/>
      <c r="F7" s="71"/>
      <c r="G7" s="80"/>
      <c r="H7" s="79">
        <f>L27</f>
        <v>166.2</v>
      </c>
      <c r="K7" s="9"/>
      <c r="L7" s="61"/>
      <c r="O7" s="9"/>
      <c r="P7" s="50"/>
      <c r="Q7" s="50"/>
      <c r="R7" s="57"/>
      <c r="S7" s="57"/>
      <c r="T7" s="57"/>
      <c r="U7" s="57"/>
      <c r="V7" s="57"/>
      <c r="W7" s="57"/>
      <c r="X7" s="57"/>
      <c r="Y7" s="57"/>
      <c r="Z7" s="57"/>
      <c r="AA7" s="57"/>
    </row>
    <row r="8" spans="1:27" s="126" customFormat="1" ht="15.75" thickBot="1" x14ac:dyDescent="0.3">
      <c r="A8" s="269" t="s">
        <v>205</v>
      </c>
      <c r="B8" s="266">
        <v>3885.5397032793921</v>
      </c>
      <c r="C8" s="268">
        <f t="shared" si="0"/>
        <v>15737.879048582472</v>
      </c>
      <c r="D8" s="268"/>
      <c r="E8" s="181"/>
      <c r="F8" s="71"/>
      <c r="G8" s="80"/>
      <c r="H8" s="79">
        <f>L30</f>
        <v>167.23333333333332</v>
      </c>
      <c r="K8" s="9"/>
      <c r="L8" s="61"/>
      <c r="O8" s="9"/>
      <c r="P8" s="50"/>
      <c r="Q8" s="50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27" s="126" customFormat="1" ht="15.75" thickBot="1" x14ac:dyDescent="0.3">
      <c r="A9" s="269" t="s">
        <v>206</v>
      </c>
      <c r="B9" s="266">
        <v>3966.6745953261593</v>
      </c>
      <c r="C9" s="268">
        <f t="shared" si="0"/>
        <v>15540.529898882856</v>
      </c>
      <c r="D9" s="268"/>
      <c r="E9" s="181"/>
      <c r="F9" s="71"/>
      <c r="G9" s="80"/>
      <c r="H9" s="79">
        <f>L33</f>
        <v>168.26666666666668</v>
      </c>
      <c r="K9" s="9"/>
      <c r="L9" s="61"/>
      <c r="O9" s="9"/>
      <c r="P9" s="50"/>
      <c r="Q9" s="50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7" x14ac:dyDescent="0.25">
      <c r="A10" s="269" t="s">
        <v>0</v>
      </c>
      <c r="B10" s="266">
        <v>3854.4760929518825</v>
      </c>
      <c r="C10" s="273">
        <f t="shared" si="0"/>
        <v>15585.406426118057</v>
      </c>
      <c r="D10" s="268">
        <f>'Ingreso estructural no oil'!L8</f>
        <v>37278.750856680868</v>
      </c>
      <c r="E10" s="12">
        <v>45.403801418439713</v>
      </c>
      <c r="F10" s="221">
        <v>0.83260000000000001</v>
      </c>
      <c r="G10" s="121">
        <f t="shared" ref="G10:G16" si="1">H10/H6-1</f>
        <v>3.2401782098013365E-2</v>
      </c>
      <c r="H10" s="79">
        <v>169.933333333333</v>
      </c>
      <c r="N10" s="446">
        <v>2008</v>
      </c>
      <c r="O10" s="9">
        <v>211.08</v>
      </c>
      <c r="P10" s="50"/>
      <c r="Q10" s="50"/>
      <c r="R10" s="57"/>
      <c r="S10" s="57"/>
      <c r="T10" s="57"/>
      <c r="U10" s="57"/>
      <c r="V10" s="57"/>
      <c r="W10" s="57"/>
      <c r="X10" s="57"/>
      <c r="Y10" s="57"/>
      <c r="Z10" s="57"/>
      <c r="AA10" s="57"/>
    </row>
    <row r="11" spans="1:27" x14ac:dyDescent="0.25">
      <c r="A11" s="269" t="s">
        <v>6</v>
      </c>
      <c r="B11" s="266">
        <v>3921.6101965097546</v>
      </c>
      <c r="C11" s="273">
        <f t="shared" si="0"/>
        <v>15628.300588067188</v>
      </c>
      <c r="D11" s="268">
        <f>'Ingreso estructural no oil'!L9</f>
        <v>37332.027964823792</v>
      </c>
      <c r="E11" s="12">
        <v>56.967659574468087</v>
      </c>
      <c r="F11" s="221">
        <v>0.96479999999999999</v>
      </c>
      <c r="G11" s="121">
        <f t="shared" si="1"/>
        <v>3.3293221018853014E-2</v>
      </c>
      <c r="H11" s="81">
        <v>171.73333333333335</v>
      </c>
      <c r="N11" s="446"/>
      <c r="O11" s="9">
        <v>211.69300000000001</v>
      </c>
      <c r="P11" s="50"/>
      <c r="Q11" s="50"/>
      <c r="R11" s="57"/>
      <c r="S11" s="57"/>
      <c r="T11" s="57"/>
      <c r="U11" s="57"/>
      <c r="V11" s="57"/>
      <c r="W11" s="57"/>
      <c r="X11" s="57"/>
      <c r="Y11" s="57"/>
      <c r="Z11" s="57"/>
      <c r="AA11" s="57"/>
    </row>
    <row r="12" spans="1:27" x14ac:dyDescent="0.25">
      <c r="A12" s="269" t="s">
        <v>1</v>
      </c>
      <c r="B12" s="266">
        <v>4045.1998038352212</v>
      </c>
      <c r="C12" s="273">
        <f t="shared" si="0"/>
        <v>15787.960688623018</v>
      </c>
      <c r="D12" s="268">
        <f>'Ingreso estructural no oil'!L10</f>
        <v>37511.358950496193</v>
      </c>
      <c r="E12" s="12">
        <v>62.650950354609925</v>
      </c>
      <c r="F12" s="221">
        <v>1.0474000000000001</v>
      </c>
      <c r="G12" s="121">
        <f t="shared" si="1"/>
        <v>3.5080725533187307E-2</v>
      </c>
      <c r="H12" s="81">
        <v>173.1</v>
      </c>
      <c r="N12" s="446"/>
      <c r="O12" s="9">
        <v>213.52799999999999</v>
      </c>
      <c r="P12" s="50">
        <f>SUM(O10:O12)/3</f>
        <v>212.10033333333334</v>
      </c>
      <c r="Q12" s="50"/>
    </row>
    <row r="13" spans="1:27" x14ac:dyDescent="0.25">
      <c r="A13" s="269" t="s">
        <v>2</v>
      </c>
      <c r="B13" s="266">
        <v>4115.0750915514436</v>
      </c>
      <c r="C13" s="273">
        <f t="shared" si="0"/>
        <v>15936.361184848301</v>
      </c>
      <c r="D13" s="268">
        <f>'Ingreso estructural no oil'!L11</f>
        <v>37726.409999999996</v>
      </c>
      <c r="E13" s="12">
        <v>67.701985815602839</v>
      </c>
      <c r="F13" s="221">
        <v>0.9758</v>
      </c>
      <c r="G13" s="121">
        <f t="shared" si="1"/>
        <v>3.427099841521386E-2</v>
      </c>
      <c r="H13" s="81">
        <v>174.03333333333333</v>
      </c>
      <c r="N13" s="446"/>
      <c r="O13" s="9">
        <v>214.82300000000001</v>
      </c>
      <c r="P13" s="50"/>
      <c r="Q13" s="50"/>
    </row>
    <row r="14" spans="1:27" x14ac:dyDescent="0.25">
      <c r="A14" s="269" t="s">
        <v>3</v>
      </c>
      <c r="B14" s="266">
        <v>4027.4121046300252</v>
      </c>
      <c r="C14" s="273">
        <f t="shared" si="0"/>
        <v>16109.297196526444</v>
      </c>
      <c r="D14" s="268">
        <f>'Ingreso estructural no oil'!L12</f>
        <v>38291.185999999994</v>
      </c>
      <c r="E14" s="66">
        <v>76.113191489361682</v>
      </c>
      <c r="F14" s="121">
        <f>E14/E10-1</f>
        <v>0.67636165060069309</v>
      </c>
      <c r="G14" s="121">
        <f t="shared" si="1"/>
        <v>3.3934876422128113E-2</v>
      </c>
      <c r="H14" s="81">
        <v>175.69999999999996</v>
      </c>
      <c r="N14" s="446"/>
      <c r="O14" s="9">
        <v>216.63200000000001</v>
      </c>
      <c r="P14" s="50"/>
      <c r="Q14" s="50"/>
    </row>
    <row r="15" spans="1:27" x14ac:dyDescent="0.25">
      <c r="A15" s="269" t="s">
        <v>4</v>
      </c>
      <c r="B15" s="266">
        <v>4102.7533017121978</v>
      </c>
      <c r="C15" s="273">
        <f t="shared" ref="C15:C69" si="2">SUM(B12:B15)</f>
        <v>16290.440301728886</v>
      </c>
      <c r="D15" s="268">
        <f>'Ingreso estructural no oil'!L13</f>
        <v>38773.184999999998</v>
      </c>
      <c r="E15" s="12">
        <v>79.503546099290773</v>
      </c>
      <c r="F15" s="121">
        <f t="shared" ref="F15:F68" si="3">E15/E11-1</f>
        <v>0.39559087898571277</v>
      </c>
      <c r="G15" s="121">
        <f t="shared" si="1"/>
        <v>3.3773291925465632E-2</v>
      </c>
      <c r="H15" s="81">
        <v>177.53333333333333</v>
      </c>
      <c r="N15" s="446"/>
      <c r="O15" s="9">
        <v>218.815</v>
      </c>
      <c r="P15" s="50">
        <f t="shared" ref="P15:P21" si="4">SUM(O13:O15)/3</f>
        <v>216.75666666666666</v>
      </c>
      <c r="Q15" s="50"/>
    </row>
    <row r="16" spans="1:27" x14ac:dyDescent="0.25">
      <c r="A16" s="269" t="s">
        <v>5</v>
      </c>
      <c r="B16" s="266">
        <v>4068.1486501305812</v>
      </c>
      <c r="C16" s="273">
        <f t="shared" si="2"/>
        <v>16313.389148024247</v>
      </c>
      <c r="D16" s="268">
        <f>'Ingreso estructural no oil'!L14</f>
        <v>39034.176999999996</v>
      </c>
      <c r="E16" s="12">
        <v>80.772907801418441</v>
      </c>
      <c r="F16" s="121">
        <f>E16/E12-1</f>
        <v>0.28925271435208288</v>
      </c>
      <c r="G16" s="121">
        <f t="shared" si="1"/>
        <v>2.6959368380512272E-2</v>
      </c>
      <c r="H16" s="81">
        <v>177.76666666666665</v>
      </c>
      <c r="N16" s="446"/>
      <c r="O16" s="9">
        <v>219.964</v>
      </c>
      <c r="P16" s="50"/>
      <c r="Q16" s="50"/>
    </row>
    <row r="17" spans="1:28" x14ac:dyDescent="0.25">
      <c r="A17" s="269" t="s">
        <v>7</v>
      </c>
      <c r="B17" s="266">
        <v>4142.8315594688684</v>
      </c>
      <c r="C17" s="273">
        <f t="shared" si="2"/>
        <v>16341.145615941672</v>
      </c>
      <c r="D17" s="268">
        <f>'Ingreso estructural no oil'!L15</f>
        <v>39241.362999999998</v>
      </c>
      <c r="E17" s="12">
        <v>84.017730496453893</v>
      </c>
      <c r="F17" s="121">
        <f t="shared" si="3"/>
        <v>0.2409935910194656</v>
      </c>
      <c r="G17" s="121">
        <f t="shared" ref="G17:G65" si="5">H17/H13-1</f>
        <v>1.8578816318712832E-2</v>
      </c>
      <c r="H17" s="81">
        <v>177.26666666666665</v>
      </c>
      <c r="N17" s="446"/>
      <c r="O17" s="9">
        <v>219.08600000000001</v>
      </c>
      <c r="P17" s="50"/>
      <c r="Q17" s="50"/>
    </row>
    <row r="18" spans="1:28" x14ac:dyDescent="0.25">
      <c r="A18" s="269" t="s">
        <v>8</v>
      </c>
      <c r="B18" s="266">
        <v>4229.1529853816692</v>
      </c>
      <c r="C18" s="273">
        <f t="shared" si="2"/>
        <v>16542.886496693318</v>
      </c>
      <c r="D18" s="268">
        <f>'Ingreso estructural no oil'!L16</f>
        <v>39605.565999999999</v>
      </c>
      <c r="E18" s="12">
        <v>87.309446808510643</v>
      </c>
      <c r="F18" s="121">
        <f t="shared" si="3"/>
        <v>0.1471000637348634</v>
      </c>
      <c r="G18" s="121">
        <f t="shared" si="5"/>
        <v>1.2521343198634405E-2</v>
      </c>
      <c r="H18" s="81">
        <v>177.9</v>
      </c>
      <c r="N18" s="446"/>
      <c r="O18" s="9">
        <v>218.78299999999999</v>
      </c>
      <c r="P18" s="50">
        <f t="shared" si="4"/>
        <v>219.27766666666665</v>
      </c>
      <c r="Q18" s="50"/>
    </row>
    <row r="19" spans="1:28" x14ac:dyDescent="0.25">
      <c r="A19" s="269" t="s">
        <v>9</v>
      </c>
      <c r="B19" s="266">
        <v>4307.7078480718455</v>
      </c>
      <c r="C19" s="273">
        <f t="shared" si="2"/>
        <v>16747.841043052962</v>
      </c>
      <c r="D19" s="268">
        <f>'Ingreso estructural no oil'!L17</f>
        <v>40008.970999999998</v>
      </c>
      <c r="E19" s="12">
        <v>89.996936170212749</v>
      </c>
      <c r="F19" s="121">
        <f t="shared" si="3"/>
        <v>0.13198644067796605</v>
      </c>
      <c r="G19" s="121">
        <f t="shared" si="5"/>
        <v>1.2955313556139769E-2</v>
      </c>
      <c r="H19" s="81">
        <v>179.83333333333334</v>
      </c>
      <c r="N19" s="446"/>
      <c r="O19" s="9">
        <v>216.57300000000001</v>
      </c>
      <c r="P19" s="50"/>
      <c r="Q19" s="50"/>
    </row>
    <row r="20" spans="1:28" x14ac:dyDescent="0.25">
      <c r="A20" s="269" t="s">
        <v>10</v>
      </c>
      <c r="B20" s="266">
        <v>4341.7561600073868</v>
      </c>
      <c r="C20" s="273">
        <f t="shared" si="2"/>
        <v>17021.448552929767</v>
      </c>
      <c r="D20" s="268">
        <f>'Ingreso estructural no oil'!L18</f>
        <v>40473.695999999996</v>
      </c>
      <c r="E20" s="12">
        <v>90.749659574468069</v>
      </c>
      <c r="F20" s="121">
        <f t="shared" si="3"/>
        <v>0.12351606553001204</v>
      </c>
      <c r="G20" s="121">
        <f t="shared" si="5"/>
        <v>1.593849615600984E-2</v>
      </c>
      <c r="H20" s="81">
        <v>180.6</v>
      </c>
      <c r="N20" s="446"/>
      <c r="O20" s="9">
        <v>212.42500000000001</v>
      </c>
      <c r="P20" s="50"/>
      <c r="Q20" s="50"/>
    </row>
    <row r="21" spans="1:28" ht="15.75" thickBot="1" x14ac:dyDescent="0.3">
      <c r="A21" s="269" t="s">
        <v>11</v>
      </c>
      <c r="B21" s="266">
        <v>4356.7987060683336</v>
      </c>
      <c r="C21" s="273">
        <f t="shared" si="2"/>
        <v>17235.415699529236</v>
      </c>
      <c r="D21" s="268">
        <f>'Ingreso estructural no oil'!L19</f>
        <v>40848.993999999999</v>
      </c>
      <c r="E21" s="12">
        <v>92.349702127659569</v>
      </c>
      <c r="F21" s="121">
        <f t="shared" si="3"/>
        <v>9.9169206094627205E-2</v>
      </c>
      <c r="G21" s="121">
        <f t="shared" si="5"/>
        <v>2.2000752162467219E-2</v>
      </c>
      <c r="H21" s="81">
        <v>181.16666666666666</v>
      </c>
      <c r="N21" s="447"/>
      <c r="O21" s="60">
        <v>210.22800000000001</v>
      </c>
      <c r="P21" s="50">
        <f t="shared" si="4"/>
        <v>213.07533333333336</v>
      </c>
      <c r="Q21" s="50"/>
    </row>
    <row r="22" spans="1:28" x14ac:dyDescent="0.25">
      <c r="A22" s="269" t="s">
        <v>12</v>
      </c>
      <c r="B22" s="266">
        <v>4434.1996326779017</v>
      </c>
      <c r="C22" s="273">
        <f t="shared" si="2"/>
        <v>17440.462346825469</v>
      </c>
      <c r="D22" s="268">
        <f>'Ingreso estructural no oil'!L20</f>
        <v>41225.516000000003</v>
      </c>
      <c r="E22" s="12">
        <v>95.745446808510636</v>
      </c>
      <c r="F22" s="121">
        <f t="shared" si="3"/>
        <v>9.6621846871874473E-2</v>
      </c>
      <c r="G22" s="121">
        <f t="shared" si="5"/>
        <v>2.8667790893760481E-2</v>
      </c>
      <c r="H22" s="81">
        <v>183</v>
      </c>
      <c r="J22" s="446">
        <v>1999</v>
      </c>
      <c r="K22">
        <v>164.3</v>
      </c>
      <c r="L22" s="61"/>
      <c r="N22" s="446">
        <v>2009</v>
      </c>
      <c r="O22" s="9">
        <v>211.143</v>
      </c>
      <c r="P22" s="50"/>
      <c r="Q22" s="50"/>
    </row>
    <row r="23" spans="1:28" x14ac:dyDescent="0.25">
      <c r="A23" s="269" t="s">
        <v>13</v>
      </c>
      <c r="B23" s="266">
        <v>4374.6292120012786</v>
      </c>
      <c r="C23" s="273">
        <f t="shared" si="2"/>
        <v>17507.383710754897</v>
      </c>
      <c r="D23" s="268">
        <f>'Ingreso estructural no oil'!L21</f>
        <v>41260.489000000001</v>
      </c>
      <c r="E23" s="12">
        <v>97.332014184397167</v>
      </c>
      <c r="F23" s="121">
        <f t="shared" si="3"/>
        <v>8.1503641416319494E-2</v>
      </c>
      <c r="G23" s="121">
        <f t="shared" si="5"/>
        <v>2.1316033364225939E-2</v>
      </c>
      <c r="H23" s="81">
        <v>183.66666666666666</v>
      </c>
      <c r="J23" s="446"/>
      <c r="K23">
        <v>164.5</v>
      </c>
      <c r="L23" s="61"/>
      <c r="N23" s="446"/>
      <c r="O23" s="9">
        <v>212.19300000000001</v>
      </c>
      <c r="P23" s="50"/>
      <c r="Q23" s="50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</row>
    <row r="24" spans="1:28" x14ac:dyDescent="0.25">
      <c r="A24" s="269" t="s">
        <v>14</v>
      </c>
      <c r="B24" s="266">
        <v>4398.3893330692144</v>
      </c>
      <c r="C24" s="273">
        <f t="shared" si="2"/>
        <v>17564.016883816726</v>
      </c>
      <c r="D24" s="268">
        <f>'Ingreso estructural no oil'!L22</f>
        <v>41450.661999999997</v>
      </c>
      <c r="E24" s="12">
        <v>97.582921985815588</v>
      </c>
      <c r="F24" s="121">
        <f>E24/E20-1</f>
        <v>7.5297939886377563E-2</v>
      </c>
      <c r="G24" s="121">
        <f t="shared" si="5"/>
        <v>2.1963824289405798E-2</v>
      </c>
      <c r="H24" s="81">
        <v>184.56666666666669</v>
      </c>
      <c r="J24" s="446"/>
      <c r="K24">
        <v>165</v>
      </c>
      <c r="L24" s="50">
        <f>SUM(K22:K24)/3</f>
        <v>164.6</v>
      </c>
      <c r="N24" s="446"/>
      <c r="O24" s="9">
        <v>212.709</v>
      </c>
      <c r="P24" s="50">
        <f>SUM(O22:O24)/3</f>
        <v>212.01500000000001</v>
      </c>
      <c r="Q24" s="50"/>
    </row>
    <row r="25" spans="1:28" x14ac:dyDescent="0.25">
      <c r="A25" s="269" t="s">
        <v>15</v>
      </c>
      <c r="B25" s="266">
        <v>4445.2664863515101</v>
      </c>
      <c r="C25" s="273">
        <f t="shared" si="2"/>
        <v>17652.484664099906</v>
      </c>
      <c r="D25" s="268">
        <f>'Ingreso estructural no oil'!L23</f>
        <v>41961.262000000002</v>
      </c>
      <c r="E25" s="12">
        <v>98.323248226950341</v>
      </c>
      <c r="F25" s="121">
        <f t="shared" si="3"/>
        <v>6.4683977984392849E-2</v>
      </c>
      <c r="G25" s="121">
        <f t="shared" si="5"/>
        <v>1.895124195032194E-2</v>
      </c>
      <c r="H25" s="81">
        <v>184.6</v>
      </c>
      <c r="J25" s="446"/>
      <c r="K25">
        <v>166.2</v>
      </c>
      <c r="L25" s="50"/>
      <c r="N25" s="446"/>
      <c r="O25" s="9">
        <v>213.24</v>
      </c>
      <c r="P25" s="50"/>
      <c r="Q25" s="50"/>
    </row>
    <row r="26" spans="1:28" x14ac:dyDescent="0.25">
      <c r="A26" s="269" t="s">
        <v>16</v>
      </c>
      <c r="B26" s="266">
        <v>4561.1156151972382</v>
      </c>
      <c r="C26" s="273">
        <f t="shared" si="2"/>
        <v>17779.40064661924</v>
      </c>
      <c r="D26" s="268">
        <f>'Ingreso estructural no oil'!L24</f>
        <v>42612.584999999999</v>
      </c>
      <c r="E26" s="12">
        <v>99.492354609929066</v>
      </c>
      <c r="F26" s="121">
        <f t="shared" si="3"/>
        <v>3.9134057297911973E-2</v>
      </c>
      <c r="G26" s="121">
        <f t="shared" si="5"/>
        <v>1.7850637522768498E-2</v>
      </c>
      <c r="H26" s="81">
        <v>186.26666666666665</v>
      </c>
      <c r="J26" s="446"/>
      <c r="K26" s="126">
        <v>166.2</v>
      </c>
      <c r="L26" s="50"/>
      <c r="N26" s="446"/>
      <c r="O26" s="9">
        <v>213.85599999999999</v>
      </c>
      <c r="P26" s="50"/>
      <c r="Q26" s="50"/>
    </row>
    <row r="27" spans="1:28" x14ac:dyDescent="0.25">
      <c r="A27" s="269" t="s">
        <v>17</v>
      </c>
      <c r="B27" s="266">
        <v>4588.8202856098769</v>
      </c>
      <c r="C27" s="273">
        <f t="shared" si="2"/>
        <v>17993.59172022784</v>
      </c>
      <c r="D27" s="268">
        <f>'Ingreso estructural no oil'!L25</f>
        <v>43654.343000000001</v>
      </c>
      <c r="E27" s="12">
        <v>100.41324822695036</v>
      </c>
      <c r="F27" s="121">
        <f t="shared" si="3"/>
        <v>3.1656943179206642E-2</v>
      </c>
      <c r="G27" s="121">
        <f t="shared" si="5"/>
        <v>2.8675136116152355E-2</v>
      </c>
      <c r="H27" s="81">
        <v>188.93333333333331</v>
      </c>
      <c r="J27" s="446"/>
      <c r="K27" s="126">
        <v>166.2</v>
      </c>
      <c r="L27" s="50">
        <f>SUM(K25:K27)/3</f>
        <v>166.2</v>
      </c>
      <c r="N27" s="446"/>
      <c r="O27" s="9">
        <v>215.69300000000001</v>
      </c>
      <c r="P27" s="50">
        <f t="shared" ref="P27:P33" si="6">SUM(O25:O27)/3</f>
        <v>214.26300000000001</v>
      </c>
      <c r="Q27" s="50"/>
    </row>
    <row r="28" spans="1:28" x14ac:dyDescent="0.25">
      <c r="A28" s="269" t="s">
        <v>18</v>
      </c>
      <c r="B28" s="266">
        <v>4668.4925465869719</v>
      </c>
      <c r="C28" s="273">
        <f t="shared" si="2"/>
        <v>18263.694933745595</v>
      </c>
      <c r="D28" s="268">
        <f>'Ingreso estructural no oil'!L26</f>
        <v>44593.251000000004</v>
      </c>
      <c r="E28" s="12">
        <v>99.985775629665866</v>
      </c>
      <c r="F28" s="121">
        <f>E28/E24-1</f>
        <v>2.4623710737003313E-2</v>
      </c>
      <c r="G28" s="121">
        <f t="shared" si="5"/>
        <v>2.7271085425320418E-2</v>
      </c>
      <c r="H28" s="81">
        <v>189.6</v>
      </c>
      <c r="J28" s="446"/>
      <c r="K28">
        <v>166.7</v>
      </c>
      <c r="L28" s="50"/>
      <c r="N28" s="446"/>
      <c r="O28" s="9">
        <v>215.351</v>
      </c>
      <c r="P28" s="50"/>
      <c r="Q28" s="50"/>
    </row>
    <row r="29" spans="1:28" x14ac:dyDescent="0.25">
      <c r="A29" s="269" t="s">
        <v>19</v>
      </c>
      <c r="B29" s="266">
        <v>4786.009407972233</v>
      </c>
      <c r="C29" s="273">
        <f t="shared" si="2"/>
        <v>18604.437855366319</v>
      </c>
      <c r="D29" s="268">
        <f>'Ingreso estructural no oil'!L27</f>
        <v>45406.709999999992</v>
      </c>
      <c r="E29" s="12">
        <v>100.32537354828692</v>
      </c>
      <c r="F29" s="121">
        <f t="shared" si="3"/>
        <v>2.0362684893355576E-2</v>
      </c>
      <c r="G29" s="121">
        <f t="shared" si="5"/>
        <v>3.3224990971469914E-2</v>
      </c>
      <c r="H29" s="81">
        <v>190.73333333333335</v>
      </c>
      <c r="J29" s="446"/>
      <c r="K29">
        <v>167.1</v>
      </c>
      <c r="L29" s="50"/>
      <c r="N29" s="446"/>
      <c r="O29" s="9">
        <v>215.834</v>
      </c>
      <c r="P29" s="50"/>
      <c r="Q29" s="50"/>
    </row>
    <row r="30" spans="1:28" x14ac:dyDescent="0.25">
      <c r="A30" s="269" t="s">
        <v>20</v>
      </c>
      <c r="B30" s="266">
        <v>4820.8485205226516</v>
      </c>
      <c r="C30" s="273">
        <f t="shared" si="2"/>
        <v>18864.170760691733</v>
      </c>
      <c r="D30" s="268">
        <f>'Ingreso estructural no oil'!L28</f>
        <v>46087.112999999998</v>
      </c>
      <c r="E30" s="12">
        <v>100.83666666666666</v>
      </c>
      <c r="F30" s="121">
        <f t="shared" si="3"/>
        <v>1.351171215123137E-2</v>
      </c>
      <c r="G30" s="121">
        <f t="shared" si="5"/>
        <v>3.0422333571939797E-2</v>
      </c>
      <c r="H30" s="81">
        <v>191.93333333333331</v>
      </c>
      <c r="J30" s="446"/>
      <c r="K30">
        <v>167.9</v>
      </c>
      <c r="L30" s="50">
        <f>SUM(K28:K30)/3</f>
        <v>167.23333333333332</v>
      </c>
      <c r="N30" s="446"/>
      <c r="O30" s="9">
        <v>215.96899999999999</v>
      </c>
      <c r="P30" s="50">
        <f t="shared" si="6"/>
        <v>215.71799999999999</v>
      </c>
      <c r="Q30" s="50"/>
    </row>
    <row r="31" spans="1:28" x14ac:dyDescent="0.25">
      <c r="A31" s="269" t="s">
        <v>21</v>
      </c>
      <c r="B31" s="266">
        <v>4900.6180544838044</v>
      </c>
      <c r="C31" s="273">
        <f t="shared" si="2"/>
        <v>19175.96852956566</v>
      </c>
      <c r="D31" s="268">
        <f>'Ingreso estructural no oil'!L29</f>
        <v>46740.955999999998</v>
      </c>
      <c r="E31" s="12">
        <v>102.09333333333332</v>
      </c>
      <c r="F31" s="121">
        <f t="shared" si="3"/>
        <v>1.6731707578921284E-2</v>
      </c>
      <c r="G31" s="121">
        <f t="shared" si="5"/>
        <v>2.9463655610444839E-2</v>
      </c>
      <c r="H31" s="81">
        <v>194.5</v>
      </c>
      <c r="J31" s="446"/>
      <c r="K31">
        <v>168.2</v>
      </c>
      <c r="L31" s="50"/>
      <c r="N31" s="446"/>
      <c r="O31" s="9">
        <v>216.17699999999999</v>
      </c>
      <c r="P31" s="50"/>
      <c r="Q31" s="50"/>
    </row>
    <row r="32" spans="1:28" x14ac:dyDescent="0.25">
      <c r="A32" s="269" t="s">
        <v>22</v>
      </c>
      <c r="B32" s="266">
        <v>4901.021091186426</v>
      </c>
      <c r="C32" s="273">
        <f t="shared" si="2"/>
        <v>19408.497074165116</v>
      </c>
      <c r="D32" s="268">
        <f>'Ingreso estructural no oil'!L30</f>
        <v>47289.586000000003</v>
      </c>
      <c r="E32" s="12">
        <v>102.18333333333334</v>
      </c>
      <c r="F32" s="121">
        <f t="shared" si="3"/>
        <v>2.1978703368836561E-2</v>
      </c>
      <c r="G32" s="121">
        <f t="shared" si="5"/>
        <v>3.8326300984528938E-2</v>
      </c>
      <c r="H32" s="81">
        <v>196.86666666666667</v>
      </c>
      <c r="J32" s="446"/>
      <c r="K32">
        <v>168.3</v>
      </c>
      <c r="L32" s="50"/>
      <c r="N32" s="446"/>
      <c r="O32" s="9">
        <v>216.33</v>
      </c>
      <c r="P32" s="50"/>
      <c r="Q32" s="50"/>
    </row>
    <row r="33" spans="1:28" ht="15.75" thickBot="1" x14ac:dyDescent="0.3">
      <c r="A33" s="269" t="s">
        <v>23</v>
      </c>
      <c r="B33" s="266">
        <v>4980.271539113829</v>
      </c>
      <c r="C33" s="273">
        <f t="shared" si="2"/>
        <v>19602.759205306713</v>
      </c>
      <c r="D33" s="268">
        <f>'Ingreso estructural no oil'!L31</f>
        <v>47809.319000000003</v>
      </c>
      <c r="E33" s="12">
        <v>103.19999999999999</v>
      </c>
      <c r="F33" s="121">
        <f t="shared" si="3"/>
        <v>2.8653035120068671E-2</v>
      </c>
      <c r="G33" s="121">
        <f t="shared" si="5"/>
        <v>3.7399510660607982E-2</v>
      </c>
      <c r="H33" s="81">
        <v>197.86666666666665</v>
      </c>
      <c r="J33" s="447"/>
      <c r="K33" s="126">
        <v>168.3</v>
      </c>
      <c r="L33" s="50">
        <f>SUM(K31:K33)/3</f>
        <v>168.26666666666668</v>
      </c>
      <c r="N33" s="447"/>
      <c r="O33" s="60">
        <v>215.94900000000001</v>
      </c>
      <c r="P33" s="50">
        <f t="shared" si="6"/>
        <v>216.15200000000002</v>
      </c>
      <c r="Q33" s="50"/>
    </row>
    <row r="34" spans="1:28" x14ac:dyDescent="0.25">
      <c r="A34" s="269" t="s">
        <v>24</v>
      </c>
      <c r="B34" s="266">
        <v>5020.9173331918382</v>
      </c>
      <c r="C34" s="273">
        <f t="shared" si="2"/>
        <v>19802.828017975899</v>
      </c>
      <c r="D34" s="268">
        <f>'Ingreso estructural no oil'!L32</f>
        <v>48315.621000000006</v>
      </c>
      <c r="E34" s="12">
        <v>104.67666666666666</v>
      </c>
      <c r="F34" s="121">
        <f t="shared" si="3"/>
        <v>3.8081385739314522E-2</v>
      </c>
      <c r="G34" s="121">
        <f t="shared" si="5"/>
        <v>3.647099687391453E-2</v>
      </c>
      <c r="H34" s="81">
        <v>198.93333333333331</v>
      </c>
      <c r="J34" s="446">
        <v>2000</v>
      </c>
      <c r="K34" s="9">
        <v>168.8</v>
      </c>
      <c r="L34" s="61"/>
      <c r="N34" s="446">
        <v>2010</v>
      </c>
      <c r="O34" s="9">
        <v>216.68700000000001</v>
      </c>
      <c r="P34" s="50"/>
      <c r="Q34" s="50"/>
    </row>
    <row r="35" spans="1:28" x14ac:dyDescent="0.25">
      <c r="A35" s="269" t="s">
        <v>25</v>
      </c>
      <c r="B35" s="266">
        <v>5080.4201585793526</v>
      </c>
      <c r="C35" s="273">
        <f t="shared" si="2"/>
        <v>19982.630122071445</v>
      </c>
      <c r="D35" s="268">
        <f>'Ingreso estructural no oil'!L33</f>
        <v>48826.254999999997</v>
      </c>
      <c r="E35" s="12">
        <v>105.27</v>
      </c>
      <c r="F35" s="121">
        <f t="shared" si="3"/>
        <v>3.1115319315659029E-2</v>
      </c>
      <c r="G35" s="121">
        <f t="shared" si="5"/>
        <v>4.0102827763496052E-2</v>
      </c>
      <c r="H35" s="81">
        <v>202.29999999999998</v>
      </c>
      <c r="J35" s="446"/>
      <c r="K35" s="9">
        <v>169.8</v>
      </c>
      <c r="L35" s="61"/>
      <c r="N35" s="446"/>
      <c r="O35" s="9">
        <v>216.74100000000001</v>
      </c>
      <c r="P35" s="50"/>
      <c r="Q35" s="50"/>
    </row>
    <row r="36" spans="1:28" x14ac:dyDescent="0.25">
      <c r="A36" s="269" t="s">
        <v>26</v>
      </c>
      <c r="B36" s="266">
        <v>5148.1096628269315</v>
      </c>
      <c r="C36" s="273">
        <f t="shared" si="2"/>
        <v>20229.718693711951</v>
      </c>
      <c r="D36" s="268">
        <f>'Ingreso estructural no oil'!L34</f>
        <v>49467.333999999995</v>
      </c>
      <c r="E36" s="12">
        <v>105.44333333333333</v>
      </c>
      <c r="F36" s="121">
        <f t="shared" si="3"/>
        <v>3.1903441526667686E-2</v>
      </c>
      <c r="G36" s="121">
        <f t="shared" si="5"/>
        <v>3.3355909244835669E-2</v>
      </c>
      <c r="H36" s="81">
        <v>203.43333333333331</v>
      </c>
      <c r="J36" s="446"/>
      <c r="K36" s="9">
        <v>171.2</v>
      </c>
      <c r="L36" s="50">
        <f>SUM(K34:K36)/3</f>
        <v>169.93333333333334</v>
      </c>
      <c r="N36" s="446"/>
      <c r="O36" s="9">
        <v>217.631</v>
      </c>
      <c r="P36" s="50">
        <f>SUM(O34:O36)/3</f>
        <v>217.01966666666667</v>
      </c>
      <c r="Q36" s="50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</row>
    <row r="37" spans="1:28" x14ac:dyDescent="0.25">
      <c r="A37" s="269" t="s">
        <v>27</v>
      </c>
      <c r="B37" s="266">
        <v>5187.9060976527289</v>
      </c>
      <c r="C37" s="273">
        <f t="shared" si="2"/>
        <v>20437.353252250854</v>
      </c>
      <c r="D37" s="268">
        <f>'Ingreso estructural no oil'!L35</f>
        <v>49914.614999999998</v>
      </c>
      <c r="E37" s="12">
        <v>106.39666666666666</v>
      </c>
      <c r="F37" s="121">
        <f t="shared" si="3"/>
        <v>3.0975452196382536E-2</v>
      </c>
      <c r="G37" s="121">
        <f t="shared" si="5"/>
        <v>1.9373315363881538E-2</v>
      </c>
      <c r="H37" s="81">
        <v>201.70000000000002</v>
      </c>
      <c r="J37" s="446"/>
      <c r="K37" s="9">
        <v>171.3</v>
      </c>
      <c r="L37" s="50"/>
      <c r="N37" s="446"/>
      <c r="O37" s="9">
        <v>218.00899999999999</v>
      </c>
      <c r="P37" s="50"/>
      <c r="Q37" s="50"/>
    </row>
    <row r="38" spans="1:28" x14ac:dyDescent="0.25">
      <c r="A38" s="269" t="s">
        <v>28</v>
      </c>
      <c r="B38" s="266">
        <v>5224.4409065696836</v>
      </c>
      <c r="C38" s="273">
        <f t="shared" si="2"/>
        <v>20640.876825628697</v>
      </c>
      <c r="D38" s="268">
        <f>'Ingreso estructural no oil'!L36</f>
        <v>50185.183999999994</v>
      </c>
      <c r="E38" s="12">
        <v>106.83</v>
      </c>
      <c r="F38" s="121">
        <f t="shared" si="3"/>
        <v>2.0571282998439688E-2</v>
      </c>
      <c r="G38" s="121">
        <f t="shared" si="5"/>
        <v>2.4240951742627415E-2</v>
      </c>
      <c r="H38" s="81">
        <v>203.75566666666666</v>
      </c>
      <c r="J38" s="446"/>
      <c r="K38" s="9">
        <v>171.5</v>
      </c>
      <c r="L38" s="50"/>
      <c r="N38" s="446"/>
      <c r="O38" s="9">
        <v>218.178</v>
      </c>
      <c r="P38" s="50"/>
      <c r="Q38" s="50"/>
    </row>
    <row r="39" spans="1:28" x14ac:dyDescent="0.25">
      <c r="A39" s="269" t="s">
        <v>29</v>
      </c>
      <c r="B39" s="266">
        <v>5231.0356061481816</v>
      </c>
      <c r="C39" s="273">
        <f t="shared" si="2"/>
        <v>20791.492273197524</v>
      </c>
      <c r="D39" s="268">
        <f>'Ingreso estructural no oil'!L37</f>
        <v>50379.531999999992</v>
      </c>
      <c r="E39" s="12">
        <v>107.07333333333334</v>
      </c>
      <c r="F39" s="121">
        <f t="shared" si="3"/>
        <v>1.7130553180709995E-2</v>
      </c>
      <c r="G39" s="121">
        <f t="shared" si="5"/>
        <v>2.6506838029329405E-2</v>
      </c>
      <c r="H39" s="81">
        <v>207.66233333333332</v>
      </c>
      <c r="J39" s="446"/>
      <c r="K39" s="9">
        <v>172.4</v>
      </c>
      <c r="L39" s="50">
        <f>SUM(K37:K39)/3</f>
        <v>171.73333333333335</v>
      </c>
      <c r="N39" s="446"/>
      <c r="O39" s="9">
        <v>217.965</v>
      </c>
      <c r="P39" s="50">
        <f t="shared" ref="P39:P45" si="7">SUM(O37:O39)/3</f>
        <v>218.05066666666667</v>
      </c>
      <c r="Q39" s="50"/>
    </row>
    <row r="40" spans="1:28" x14ac:dyDescent="0.25">
      <c r="A40" s="269" t="s">
        <v>30</v>
      </c>
      <c r="B40" s="266">
        <v>5405.5546917073952</v>
      </c>
      <c r="C40" s="273">
        <f t="shared" si="2"/>
        <v>21048.937302077989</v>
      </c>
      <c r="D40" s="268">
        <f>'Ingreso estructural no oil'!L38</f>
        <v>50608.031999999999</v>
      </c>
      <c r="E40" s="12">
        <v>108.11666666666667</v>
      </c>
      <c r="F40" s="121">
        <f t="shared" si="3"/>
        <v>2.5353270318970722E-2</v>
      </c>
      <c r="G40" s="121">
        <f t="shared" si="5"/>
        <v>2.3604784532197387E-2</v>
      </c>
      <c r="H40" s="81">
        <v>208.23533333333333</v>
      </c>
      <c r="J40" s="446"/>
      <c r="K40" s="9">
        <v>172.8</v>
      </c>
      <c r="L40" s="50"/>
      <c r="N40" s="446"/>
      <c r="O40" s="9">
        <v>218.011</v>
      </c>
      <c r="P40" s="50"/>
      <c r="Q40" s="50"/>
    </row>
    <row r="41" spans="1:28" x14ac:dyDescent="0.25">
      <c r="A41" s="269" t="s">
        <v>31</v>
      </c>
      <c r="B41" s="266">
        <v>5497.79279557474</v>
      </c>
      <c r="C41" s="273">
        <f t="shared" si="2"/>
        <v>21358.824000000001</v>
      </c>
      <c r="D41" s="268">
        <f>'Ingreso estructural no oil'!L39</f>
        <v>51007.777000000002</v>
      </c>
      <c r="E41" s="12">
        <v>109.37</v>
      </c>
      <c r="F41" s="121">
        <f t="shared" si="3"/>
        <v>2.7945737648422675E-2</v>
      </c>
      <c r="G41" s="121">
        <f t="shared" si="5"/>
        <v>3.9743843992728234E-2</v>
      </c>
      <c r="H41" s="81">
        <v>209.71633333333332</v>
      </c>
      <c r="J41" s="446"/>
      <c r="K41" s="9">
        <v>172.8</v>
      </c>
      <c r="L41" s="50"/>
      <c r="N41" s="446"/>
      <c r="O41" s="9">
        <v>218.31200000000001</v>
      </c>
      <c r="P41" s="50"/>
      <c r="Q41" s="50"/>
    </row>
    <row r="42" spans="1:28" x14ac:dyDescent="0.25">
      <c r="A42" s="269" t="s">
        <v>32</v>
      </c>
      <c r="B42" s="266">
        <v>5533.6159972307751</v>
      </c>
      <c r="C42" s="273">
        <f t="shared" si="2"/>
        <v>21667.999090661091</v>
      </c>
      <c r="D42" s="268">
        <f>'Ingreso estructural no oil'!L40</f>
        <v>51662.682000000001</v>
      </c>
      <c r="E42" s="12">
        <v>112.47333333333334</v>
      </c>
      <c r="F42" s="121">
        <f t="shared" si="3"/>
        <v>5.2825361165715012E-2</v>
      </c>
      <c r="G42" s="121">
        <f t="shared" si="5"/>
        <v>4.0954280208157945E-2</v>
      </c>
      <c r="H42" s="81">
        <v>212.10033333333334</v>
      </c>
      <c r="J42" s="446"/>
      <c r="K42" s="9">
        <v>173.7</v>
      </c>
      <c r="L42" s="50">
        <f>SUM(K40:K42)/3</f>
        <v>173.1</v>
      </c>
      <c r="N42" s="446"/>
      <c r="O42" s="9">
        <v>218.43899999999999</v>
      </c>
      <c r="P42" s="50">
        <f t="shared" si="7"/>
        <v>218.25399999999999</v>
      </c>
      <c r="Q42" s="50"/>
    </row>
    <row r="43" spans="1:28" x14ac:dyDescent="0.25">
      <c r="A43" s="269" t="s">
        <v>33</v>
      </c>
      <c r="B43" s="266">
        <v>5704.6621503251963</v>
      </c>
      <c r="C43" s="273">
        <f t="shared" si="2"/>
        <v>22141.625634838107</v>
      </c>
      <c r="D43" s="268">
        <f>'Ingreso estructural no oil'!L41</f>
        <v>52459.264000000003</v>
      </c>
      <c r="E43" s="12">
        <v>116.76666666666667</v>
      </c>
      <c r="F43" s="121">
        <f t="shared" si="3"/>
        <v>9.0529854928086628E-2</v>
      </c>
      <c r="G43" s="121">
        <f t="shared" si="5"/>
        <v>4.3793851236061165E-2</v>
      </c>
      <c r="H43" s="81">
        <v>216.75666666666666</v>
      </c>
      <c r="J43" s="446"/>
      <c r="K43" s="9">
        <v>174</v>
      </c>
      <c r="L43" s="50"/>
      <c r="N43" s="446"/>
      <c r="O43" s="9">
        <v>218.71100000000001</v>
      </c>
      <c r="P43" s="50"/>
      <c r="Q43" s="50"/>
    </row>
    <row r="44" spans="1:28" x14ac:dyDescent="0.25">
      <c r="A44" s="269" t="s">
        <v>34</v>
      </c>
      <c r="B44" s="266">
        <v>5778.7198589208083</v>
      </c>
      <c r="C44" s="273">
        <f t="shared" si="2"/>
        <v>22514.790802051521</v>
      </c>
      <c r="D44" s="268">
        <f>'Ingreso estructural no oil'!L42</f>
        <v>53327.000999999997</v>
      </c>
      <c r="E44" s="12">
        <v>118.87666666666667</v>
      </c>
      <c r="F44" s="121">
        <f t="shared" si="3"/>
        <v>9.9522121165407595E-2</v>
      </c>
      <c r="G44" s="121">
        <f t="shared" si="5"/>
        <v>5.3028144439144054E-2</v>
      </c>
      <c r="H44" s="81">
        <v>219.27766666666665</v>
      </c>
      <c r="J44" s="446"/>
      <c r="K44" s="9">
        <v>174.1</v>
      </c>
      <c r="L44" s="50"/>
      <c r="N44" s="446"/>
      <c r="O44" s="9">
        <v>218.803</v>
      </c>
      <c r="P44" s="50"/>
      <c r="Q44" s="50"/>
    </row>
    <row r="45" spans="1:28" ht="15.75" thickBot="1" x14ac:dyDescent="0.3">
      <c r="A45" s="269" t="s">
        <v>35</v>
      </c>
      <c r="B45" s="266">
        <v>5932.3016207147393</v>
      </c>
      <c r="C45" s="273">
        <f t="shared" si="2"/>
        <v>22949.299627191518</v>
      </c>
      <c r="D45" s="268">
        <f>'Ingreso estructural no oil'!L43</f>
        <v>54250.408000000003</v>
      </c>
      <c r="E45" s="12">
        <v>119.50999999999999</v>
      </c>
      <c r="F45" s="121">
        <f t="shared" si="3"/>
        <v>9.2712809728444645E-2</v>
      </c>
      <c r="G45" s="121">
        <f t="shared" si="5"/>
        <v>1.6016873586384373E-2</v>
      </c>
      <c r="H45" s="81">
        <v>213.07533333333336</v>
      </c>
      <c r="J45" s="447"/>
      <c r="K45" s="60">
        <v>174</v>
      </c>
      <c r="L45" s="50">
        <f>SUM(K43:K45)/3</f>
        <v>174.03333333333333</v>
      </c>
      <c r="N45" s="447"/>
      <c r="O45" s="60">
        <v>219.179</v>
      </c>
      <c r="P45" s="50">
        <f t="shared" si="7"/>
        <v>218.89766666666665</v>
      </c>
      <c r="Q45" s="50"/>
    </row>
    <row r="46" spans="1:28" x14ac:dyDescent="0.25">
      <c r="A46" s="269" t="s">
        <v>36</v>
      </c>
      <c r="B46" s="266">
        <v>5660.428482018312</v>
      </c>
      <c r="C46" s="273">
        <f t="shared" si="2"/>
        <v>23076.112111979059</v>
      </c>
      <c r="D46" s="268">
        <f>'Ingreso estructural no oil'!L44</f>
        <v>54768.014999999999</v>
      </c>
      <c r="E46" s="12">
        <v>121.33999999999999</v>
      </c>
      <c r="F46" s="121">
        <f t="shared" si="3"/>
        <v>7.8833501274375939E-2</v>
      </c>
      <c r="G46" s="121">
        <f t="shared" si="5"/>
        <v>-4.0232531459161169E-4</v>
      </c>
      <c r="H46" s="81">
        <v>212.01500000000001</v>
      </c>
      <c r="J46" s="446">
        <v>2001</v>
      </c>
      <c r="K46" s="9">
        <v>175.1</v>
      </c>
      <c r="L46" s="50"/>
      <c r="N46" s="446">
        <v>2011</v>
      </c>
      <c r="O46" s="9">
        <v>220.22300000000001</v>
      </c>
      <c r="P46" s="50"/>
      <c r="Q46" s="50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:28" x14ac:dyDescent="0.25">
      <c r="A47" s="269" t="s">
        <v>37</v>
      </c>
      <c r="B47" s="266">
        <v>5603.4043243612741</v>
      </c>
      <c r="C47" s="273">
        <f t="shared" si="2"/>
        <v>22974.854286015136</v>
      </c>
      <c r="D47" s="268">
        <f>'Ingreso estructural no oil'!L45</f>
        <v>54993.789000000004</v>
      </c>
      <c r="E47" s="12">
        <v>123.17</v>
      </c>
      <c r="F47" s="121">
        <f t="shared" si="3"/>
        <v>5.4838709677419439E-2</v>
      </c>
      <c r="G47" s="121">
        <f t="shared" si="5"/>
        <v>-1.1504451996862786E-2</v>
      </c>
      <c r="H47" s="81">
        <v>214.26300000000001</v>
      </c>
      <c r="J47" s="446"/>
      <c r="K47" s="9">
        <v>175.8</v>
      </c>
      <c r="L47" s="50"/>
      <c r="N47" s="446"/>
      <c r="O47" s="9">
        <v>221.309</v>
      </c>
      <c r="P47" s="50"/>
      <c r="Q47" s="50"/>
    </row>
    <row r="48" spans="1:28" x14ac:dyDescent="0.25">
      <c r="A48" s="269" t="s">
        <v>38</v>
      </c>
      <c r="B48" s="266">
        <v>5579.4662993474585</v>
      </c>
      <c r="C48" s="273">
        <f t="shared" si="2"/>
        <v>22775.600726441782</v>
      </c>
      <c r="D48" s="268">
        <f>'Ingreso estructural no oil'!L46</f>
        <v>54884.059000000001</v>
      </c>
      <c r="E48" s="12">
        <v>123.02333333333335</v>
      </c>
      <c r="F48" s="121">
        <f t="shared" si="3"/>
        <v>3.4882090682219813E-2</v>
      </c>
      <c r="G48" s="121">
        <f t="shared" si="5"/>
        <v>-1.6233603361339388E-2</v>
      </c>
      <c r="H48" s="81">
        <v>215.71799999999999</v>
      </c>
      <c r="J48" s="446"/>
      <c r="K48" s="9">
        <v>176.2</v>
      </c>
      <c r="L48" s="50">
        <f>SUM(K46:K48)/3</f>
        <v>175.69999999999996</v>
      </c>
      <c r="N48" s="446"/>
      <c r="O48" s="9">
        <v>223.46700000000001</v>
      </c>
      <c r="P48" s="50">
        <f>SUM(O46:O48)/3</f>
        <v>221.66633333333334</v>
      </c>
      <c r="Q48" s="50"/>
    </row>
    <row r="49" spans="1:29" x14ac:dyDescent="0.25">
      <c r="A49" s="269" t="s">
        <v>39</v>
      </c>
      <c r="B49" s="266">
        <v>5605.2271662863177</v>
      </c>
      <c r="C49" s="273">
        <f t="shared" si="2"/>
        <v>22448.526272013361</v>
      </c>
      <c r="D49" s="268">
        <f>'Ingreso estructural no oil'!L47</f>
        <v>54557.732000000004</v>
      </c>
      <c r="E49" s="12">
        <v>124.22333333333331</v>
      </c>
      <c r="F49" s="121">
        <f t="shared" si="3"/>
        <v>3.943881962457807E-2</v>
      </c>
      <c r="G49" s="121">
        <f t="shared" si="5"/>
        <v>1.4439337573878275E-2</v>
      </c>
      <c r="H49" s="81">
        <v>216.15200000000002</v>
      </c>
      <c r="J49" s="446"/>
      <c r="K49" s="9">
        <v>176.9</v>
      </c>
      <c r="L49" s="50"/>
      <c r="N49" s="446"/>
      <c r="O49" s="9">
        <v>224.90600000000001</v>
      </c>
      <c r="P49" s="50"/>
      <c r="Q49" s="50"/>
    </row>
    <row r="50" spans="1:29" x14ac:dyDescent="0.25">
      <c r="A50" s="269" t="s">
        <v>40</v>
      </c>
      <c r="B50" s="266">
        <v>5639.2116114673618</v>
      </c>
      <c r="C50" s="273">
        <f t="shared" si="2"/>
        <v>22427.309401462411</v>
      </c>
      <c r="D50" s="268">
        <f>'Ingreso estructural no oil'!L48</f>
        <v>54566.350000000006</v>
      </c>
      <c r="E50" s="12">
        <v>126.22666666666667</v>
      </c>
      <c r="F50" s="121">
        <f t="shared" si="3"/>
        <v>4.0272512499313295E-2</v>
      </c>
      <c r="G50" s="121">
        <f t="shared" si="5"/>
        <v>2.3605248056348227E-2</v>
      </c>
      <c r="H50" s="81">
        <v>217.01966666666667</v>
      </c>
      <c r="J50" s="446"/>
      <c r="K50" s="9">
        <v>177.7</v>
      </c>
      <c r="L50" s="50"/>
      <c r="N50" s="446"/>
      <c r="O50" s="9">
        <v>225.964</v>
      </c>
      <c r="P50" s="50"/>
      <c r="Q50" s="50"/>
    </row>
    <row r="51" spans="1:29" x14ac:dyDescent="0.25">
      <c r="A51" s="269" t="s">
        <v>41</v>
      </c>
      <c r="B51" s="266">
        <v>5716.9799236832414</v>
      </c>
      <c r="C51" s="273">
        <f t="shared" si="2"/>
        <v>22540.885000784379</v>
      </c>
      <c r="D51" s="268">
        <f>'Ingreso estructural no oil'!L49</f>
        <v>54848.876000000004</v>
      </c>
      <c r="E51" s="12">
        <v>127.17</v>
      </c>
      <c r="F51" s="121">
        <f t="shared" si="3"/>
        <v>3.2475440448161086E-2</v>
      </c>
      <c r="G51" s="121">
        <f t="shared" si="5"/>
        <v>1.7677651608848377E-2</v>
      </c>
      <c r="H51" s="81">
        <v>218.05066666666667</v>
      </c>
      <c r="J51" s="446"/>
      <c r="K51" s="9">
        <v>178</v>
      </c>
      <c r="L51" s="50">
        <f t="shared" ref="L51:L57" si="8">SUM(K49:K51)/3</f>
        <v>177.53333333333333</v>
      </c>
      <c r="N51" s="446"/>
      <c r="O51" s="9">
        <v>225.72200000000001</v>
      </c>
      <c r="P51" s="50">
        <f t="shared" ref="P51:P57" si="9">SUM(O49:O51)/3</f>
        <v>225.53066666666666</v>
      </c>
      <c r="Q51" s="50"/>
    </row>
    <row r="52" spans="1:29" x14ac:dyDescent="0.25">
      <c r="A52" s="269" t="s">
        <v>42</v>
      </c>
      <c r="B52" s="266">
        <v>5847.6579271318487</v>
      </c>
      <c r="C52" s="273">
        <f t="shared" si="2"/>
        <v>22809.076628568768</v>
      </c>
      <c r="D52" s="268">
        <f>'Ingreso estructural no oil'!L50</f>
        <v>55445.262000000002</v>
      </c>
      <c r="E52" s="12">
        <v>127.39682430859436</v>
      </c>
      <c r="F52" s="121">
        <f>E52/E48-1</f>
        <v>3.5550093277110006E-2</v>
      </c>
      <c r="G52" s="121">
        <f t="shared" si="5"/>
        <v>1.1756088968004619E-2</v>
      </c>
      <c r="H52" s="81">
        <v>218.25399999999999</v>
      </c>
      <c r="J52" s="446"/>
      <c r="K52" s="9">
        <v>177.5</v>
      </c>
      <c r="L52" s="50"/>
      <c r="N52" s="446"/>
      <c r="O52" s="9">
        <v>225.922</v>
      </c>
      <c r="P52" s="50"/>
      <c r="Q52" s="50"/>
    </row>
    <row r="53" spans="1:29" x14ac:dyDescent="0.25">
      <c r="A53" s="269" t="s">
        <v>43</v>
      </c>
      <c r="B53" s="266">
        <v>6008.2350324161707</v>
      </c>
      <c r="C53" s="273">
        <f t="shared" si="2"/>
        <v>23212.084494698622</v>
      </c>
      <c r="D53" s="268">
        <f>'Ingreso estructural no oil'!L51</f>
        <v>56481.055</v>
      </c>
      <c r="E53" s="12">
        <v>128.43504681429405</v>
      </c>
      <c r="F53" s="121">
        <f t="shared" si="3"/>
        <v>3.390436698119581E-2</v>
      </c>
      <c r="G53" s="121">
        <f t="shared" si="5"/>
        <v>1.2702480970181229E-2</v>
      </c>
      <c r="H53" s="81">
        <v>218.89766666666665</v>
      </c>
      <c r="J53" s="446"/>
      <c r="K53" s="9">
        <v>177.5</v>
      </c>
      <c r="L53" s="50"/>
      <c r="N53" s="446"/>
      <c r="O53" s="9">
        <v>226.54499999999999</v>
      </c>
      <c r="P53" s="50"/>
      <c r="Q53" s="50"/>
    </row>
    <row r="54" spans="1:29" x14ac:dyDescent="0.25">
      <c r="A54" s="269" t="s">
        <v>44</v>
      </c>
      <c r="B54" s="266">
        <v>6037.6926845077887</v>
      </c>
      <c r="C54" s="273">
        <f t="shared" si="2"/>
        <v>23610.565567739053</v>
      </c>
      <c r="D54" s="268">
        <f>'Ingreso estructural no oil'!L52</f>
        <v>57541.603999999999</v>
      </c>
      <c r="E54" s="12">
        <v>130.49666666666667</v>
      </c>
      <c r="F54" s="121">
        <f t="shared" si="3"/>
        <v>3.3828034224147041E-2</v>
      </c>
      <c r="G54" s="121">
        <f t="shared" si="5"/>
        <v>2.1411269946348899E-2</v>
      </c>
      <c r="H54" s="81">
        <v>221.66633333333334</v>
      </c>
      <c r="J54" s="446"/>
      <c r="K54" s="9">
        <v>178.3</v>
      </c>
      <c r="L54" s="50">
        <f t="shared" si="8"/>
        <v>177.76666666666665</v>
      </c>
      <c r="N54" s="446"/>
      <c r="O54" s="9">
        <v>226.88900000000001</v>
      </c>
      <c r="P54" s="50">
        <f t="shared" si="9"/>
        <v>226.452</v>
      </c>
      <c r="Q54" s="50"/>
    </row>
    <row r="55" spans="1:29" x14ac:dyDescent="0.25">
      <c r="A55" s="269" t="s">
        <v>45</v>
      </c>
      <c r="B55" s="266">
        <v>6187.9821969713466</v>
      </c>
      <c r="C55" s="273">
        <f t="shared" si="2"/>
        <v>24081.56784102715</v>
      </c>
      <c r="D55" s="268">
        <f>'Ingreso estructural no oil'!L53</f>
        <v>58772.089</v>
      </c>
      <c r="E55" s="12">
        <v>132.42333333333332</v>
      </c>
      <c r="F55" s="121">
        <f t="shared" si="3"/>
        <v>4.1309533170821089E-2</v>
      </c>
      <c r="G55" s="121">
        <f t="shared" si="5"/>
        <v>3.4303953821130273E-2</v>
      </c>
      <c r="H55" s="81">
        <v>225.53066666666666</v>
      </c>
      <c r="J55" s="446"/>
      <c r="K55" s="9">
        <v>177.7</v>
      </c>
      <c r="L55" s="50"/>
      <c r="N55" s="446"/>
      <c r="O55" s="9">
        <v>226.42099999999999</v>
      </c>
      <c r="P55" s="50"/>
      <c r="Q55" s="50"/>
    </row>
    <row r="56" spans="1:29" x14ac:dyDescent="0.25">
      <c r="A56" s="269" t="s">
        <v>46</v>
      </c>
      <c r="B56" s="266">
        <v>6300.7402262407777</v>
      </c>
      <c r="C56" s="273">
        <f t="shared" si="2"/>
        <v>24534.650140136084</v>
      </c>
      <c r="D56" s="268">
        <f>'Ingreso estructural no oil'!L54</f>
        <v>60005.301000000007</v>
      </c>
      <c r="E56" s="12">
        <v>133.62799302029052</v>
      </c>
      <c r="F56" s="121">
        <f t="shared" si="3"/>
        <v>4.8911491675823537E-2</v>
      </c>
      <c r="G56" s="121">
        <f>H56/H52-1</f>
        <v>3.7561739991019749E-2</v>
      </c>
      <c r="H56" s="81">
        <v>226.452</v>
      </c>
      <c r="J56" s="446"/>
      <c r="K56" s="9">
        <v>177.4</v>
      </c>
      <c r="L56" s="50"/>
      <c r="N56" s="446"/>
      <c r="O56" s="9">
        <v>226.23</v>
      </c>
      <c r="P56" s="50"/>
      <c r="Q56" s="50"/>
    </row>
    <row r="57" spans="1:29" ht="15.75" thickBot="1" x14ac:dyDescent="0.3">
      <c r="A57" s="269" t="s">
        <v>47</v>
      </c>
      <c r="B57" s="266">
        <v>6338.9519930762617</v>
      </c>
      <c r="C57" s="273">
        <f t="shared" si="2"/>
        <v>24865.367100796175</v>
      </c>
      <c r="D57" s="268">
        <f>'Ingreso estructural no oil'!L55</f>
        <v>60925.063999999998</v>
      </c>
      <c r="E57" s="12">
        <v>135.47354889384653</v>
      </c>
      <c r="F57" s="121">
        <f t="shared" si="3"/>
        <v>5.480203615863144E-2</v>
      </c>
      <c r="G57" s="121">
        <f t="shared" si="5"/>
        <v>3.2937765439863043E-2</v>
      </c>
      <c r="H57" s="81">
        <v>226.10766666666666</v>
      </c>
      <c r="J57" s="447"/>
      <c r="K57" s="60">
        <v>176.7</v>
      </c>
      <c r="L57" s="50">
        <f t="shared" si="8"/>
        <v>177.26666666666665</v>
      </c>
      <c r="N57" s="447"/>
      <c r="O57" s="60">
        <v>225.672</v>
      </c>
      <c r="P57" s="50">
        <f t="shared" si="9"/>
        <v>226.10766666666666</v>
      </c>
      <c r="Q57" s="50"/>
    </row>
    <row r="58" spans="1:29" x14ac:dyDescent="0.25">
      <c r="A58" s="269" t="s">
        <v>48</v>
      </c>
      <c r="B58" s="266">
        <v>6430.4206689398216</v>
      </c>
      <c r="C58" s="273">
        <f t="shared" si="2"/>
        <v>25258.095085228204</v>
      </c>
      <c r="D58" s="268">
        <f>'Ingreso estructural no oil'!L56</f>
        <v>61933.289999999994</v>
      </c>
      <c r="E58" s="12">
        <v>137.86000000000001</v>
      </c>
      <c r="F58" s="121">
        <f t="shared" si="3"/>
        <v>5.642545148024225E-2</v>
      </c>
      <c r="G58" s="121">
        <f t="shared" si="5"/>
        <v>2.8151922032965349E-2</v>
      </c>
      <c r="H58" s="81">
        <v>227.90666666666667</v>
      </c>
      <c r="J58" s="445">
        <v>2002</v>
      </c>
      <c r="K58" s="9">
        <v>177.1</v>
      </c>
      <c r="L58" s="50"/>
      <c r="N58" s="446">
        <v>2012</v>
      </c>
      <c r="O58" s="9">
        <v>226.66499999999999</v>
      </c>
      <c r="P58" s="50"/>
      <c r="Q58" s="50"/>
    </row>
    <row r="59" spans="1:29" x14ac:dyDescent="0.25">
      <c r="A59" s="269" t="s">
        <v>49</v>
      </c>
      <c r="B59" s="266">
        <v>6556.2429173845558</v>
      </c>
      <c r="C59" s="273">
        <f t="shared" si="2"/>
        <v>25626.355805641415</v>
      </c>
      <c r="D59" s="268">
        <f>'Ingreso estructural no oil'!L57</f>
        <v>62829.391000000003</v>
      </c>
      <c r="E59" s="12">
        <v>139.16999999999999</v>
      </c>
      <c r="F59" s="121">
        <f t="shared" si="3"/>
        <v>5.0947718176554968E-2</v>
      </c>
      <c r="G59" s="121">
        <f t="shared" si="5"/>
        <v>1.889765176058833E-2</v>
      </c>
      <c r="H59" s="81">
        <v>229.79266666666663</v>
      </c>
      <c r="J59" s="446"/>
      <c r="K59" s="9">
        <v>177.8</v>
      </c>
      <c r="L59" s="50"/>
      <c r="N59" s="446"/>
      <c r="O59" s="9">
        <v>227.66300000000001</v>
      </c>
      <c r="P59" s="50"/>
      <c r="Q59" s="50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</row>
    <row r="60" spans="1:29" x14ac:dyDescent="0.25">
      <c r="A60" s="269" t="s">
        <v>50</v>
      </c>
      <c r="B60" s="266">
        <v>6610.8126289849151</v>
      </c>
      <c r="C60" s="273">
        <f t="shared" si="2"/>
        <v>25936.428208385558</v>
      </c>
      <c r="D60" s="268">
        <f>'Ingreso estructural no oil'!L58</f>
        <v>63617.247000000003</v>
      </c>
      <c r="E60" s="12">
        <v>140.4</v>
      </c>
      <c r="F60" s="121">
        <f t="shared" si="3"/>
        <v>5.0678056495851109E-2</v>
      </c>
      <c r="G60" s="121">
        <f t="shared" si="5"/>
        <v>1.6977843722584263E-2</v>
      </c>
      <c r="H60" s="81">
        <v>230.29666666666665</v>
      </c>
      <c r="J60" s="446"/>
      <c r="K60" s="9">
        <v>178.8</v>
      </c>
      <c r="L60" s="50">
        <f>SUM(K58:K60)/3</f>
        <v>177.9</v>
      </c>
      <c r="N60" s="446"/>
      <c r="O60" s="9">
        <v>229.392</v>
      </c>
      <c r="P60" s="50">
        <f>SUM(O58:O60)/3</f>
        <v>227.90666666666667</v>
      </c>
      <c r="Q60" s="50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</row>
    <row r="61" spans="1:29" x14ac:dyDescent="0.25">
      <c r="A61" s="270" t="s">
        <v>51</v>
      </c>
      <c r="B61" s="266">
        <v>6628.1128907386601</v>
      </c>
      <c r="C61" s="273">
        <f t="shared" si="2"/>
        <v>26225.589106047952</v>
      </c>
      <c r="D61" s="268">
        <f>'Ingreso estructural no oil'!L59</f>
        <v>64362.433000000005</v>
      </c>
      <c r="E61" s="12">
        <v>141.74</v>
      </c>
      <c r="F61" s="121">
        <f t="shared" si="3"/>
        <v>4.6255901298221103E-2</v>
      </c>
      <c r="G61" s="121">
        <f t="shared" si="5"/>
        <v>1.8893653908242936E-2</v>
      </c>
      <c r="H61" s="81">
        <v>230.37966666666699</v>
      </c>
      <c r="J61" s="446"/>
      <c r="K61" s="9">
        <v>179.8</v>
      </c>
      <c r="L61" s="50"/>
      <c r="N61" s="446"/>
      <c r="O61" s="9">
        <v>230.08500000000001</v>
      </c>
      <c r="P61" s="50"/>
      <c r="Q61" s="50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</row>
    <row r="62" spans="1:29" x14ac:dyDescent="0.25">
      <c r="A62" s="269" t="s">
        <v>127</v>
      </c>
      <c r="B62" s="266">
        <v>6774.0828909657648</v>
      </c>
      <c r="C62" s="273">
        <f t="shared" si="2"/>
        <v>26569.251328073897</v>
      </c>
      <c r="D62" s="268">
        <f>'Ingreso estructural no oil'!L60</f>
        <v>65022.555999999997</v>
      </c>
      <c r="E62" s="12">
        <v>142.72813179551392</v>
      </c>
      <c r="F62" s="121">
        <f t="shared" si="3"/>
        <v>3.5312141270229969E-2</v>
      </c>
      <c r="G62" s="121">
        <f t="shared" si="5"/>
        <v>1.6818288188147346E-2</v>
      </c>
      <c r="H62" s="81">
        <v>231.73966666666669</v>
      </c>
      <c r="J62" s="446"/>
      <c r="K62" s="9">
        <v>179.8</v>
      </c>
      <c r="L62" s="50"/>
      <c r="N62" s="446"/>
      <c r="O62" s="9">
        <v>229.815</v>
      </c>
      <c r="P62" s="50"/>
      <c r="Q62" s="50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</row>
    <row r="63" spans="1:29" x14ac:dyDescent="0.25">
      <c r="A63" s="269" t="s">
        <v>130</v>
      </c>
      <c r="B63" s="266">
        <v>6926.9902681164767</v>
      </c>
      <c r="C63" s="273">
        <f t="shared" si="2"/>
        <v>26939.998678805816</v>
      </c>
      <c r="D63" s="268">
        <f>'Ingreso estructural no oil'!L61</f>
        <v>65751.953999999998</v>
      </c>
      <c r="E63" s="12">
        <v>143.21008304838492</v>
      </c>
      <c r="F63" s="121">
        <f t="shared" si="3"/>
        <v>2.9029841549076174E-2</v>
      </c>
      <c r="G63" s="121">
        <f t="shared" si="5"/>
        <v>1.3928497863291422E-2</v>
      </c>
      <c r="H63" s="81">
        <v>232.99333333333334</v>
      </c>
      <c r="J63" s="446"/>
      <c r="K63" s="9">
        <v>179.9</v>
      </c>
      <c r="L63" s="50">
        <f t="shared" ref="L63:L69" si="10">SUM(K61:K63)/3</f>
        <v>179.83333333333334</v>
      </c>
      <c r="N63" s="446"/>
      <c r="O63" s="9">
        <v>229.47800000000001</v>
      </c>
      <c r="P63" s="50">
        <f t="shared" ref="P63:P69" si="11">SUM(O61:O63)/3</f>
        <v>229.79266666666663</v>
      </c>
      <c r="Q63" s="50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</row>
    <row r="64" spans="1:29" x14ac:dyDescent="0.25">
      <c r="A64" s="271" t="s">
        <v>137</v>
      </c>
      <c r="B64" s="266">
        <v>6977.177167785544</v>
      </c>
      <c r="C64" s="273">
        <f t="shared" si="2"/>
        <v>27306.363217606442</v>
      </c>
      <c r="D64" s="268">
        <f>'Ingreso estructural no oil'!L62</f>
        <v>66686.614000000001</v>
      </c>
      <c r="E64" s="12">
        <v>143.37745340058328</v>
      </c>
      <c r="F64" s="121">
        <f t="shared" si="3"/>
        <v>2.1206933052587473E-2</v>
      </c>
      <c r="G64" s="121">
        <f t="shared" si="5"/>
        <v>1.5241210612398692E-2</v>
      </c>
      <c r="H64" s="81">
        <v>233.8066666666667</v>
      </c>
      <c r="J64" s="446"/>
      <c r="K64" s="9">
        <v>180.1</v>
      </c>
      <c r="L64" s="50"/>
      <c r="N64" s="446"/>
      <c r="O64" s="9">
        <v>229.10400000000001</v>
      </c>
      <c r="P64" s="50"/>
      <c r="Q64" s="50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</row>
    <row r="65" spans="1:29" x14ac:dyDescent="0.25">
      <c r="A65" s="271" t="s">
        <v>138</v>
      </c>
      <c r="B65" s="266">
        <v>7039.5409562906807</v>
      </c>
      <c r="C65" s="273">
        <f t="shared" si="2"/>
        <v>27717.791283158469</v>
      </c>
      <c r="D65" s="268">
        <f>'Ingreso estructural no oil'!L63</f>
        <v>67546.127999999997</v>
      </c>
      <c r="E65" s="12">
        <v>145.06861828690836</v>
      </c>
      <c r="F65" s="121">
        <f t="shared" si="3"/>
        <v>2.3483972674674503E-2</v>
      </c>
      <c r="G65" s="121">
        <f t="shared" si="5"/>
        <v>1.6132789496756672E-2</v>
      </c>
      <c r="H65" s="81">
        <v>234.09633333333332</v>
      </c>
      <c r="J65" s="446"/>
      <c r="K65" s="9">
        <v>180.7</v>
      </c>
      <c r="L65" s="50"/>
      <c r="N65" s="446"/>
      <c r="O65" s="9">
        <v>230.37899999999999</v>
      </c>
      <c r="P65" s="50"/>
      <c r="Q65" s="50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</row>
    <row r="66" spans="1:29" x14ac:dyDescent="0.25">
      <c r="A66" s="269" t="s">
        <v>140</v>
      </c>
      <c r="B66" s="266">
        <v>6900.1495385672006</v>
      </c>
      <c r="C66" s="273">
        <f t="shared" si="2"/>
        <v>27843.857930759907</v>
      </c>
      <c r="D66" s="268">
        <f>'Ingreso estructural no oil'!L64</f>
        <v>68183.490999999995</v>
      </c>
      <c r="E66">
        <v>147.68752744499801</v>
      </c>
      <c r="F66" s="121">
        <f t="shared" si="3"/>
        <v>3.4747148912376957E-2</v>
      </c>
      <c r="G66" s="123">
        <f>H66/H62-1</f>
        <v>1.4068948058093778E-2</v>
      </c>
      <c r="H66" s="81">
        <f>P84</f>
        <v>235</v>
      </c>
      <c r="J66" s="446"/>
      <c r="K66" s="9">
        <v>181</v>
      </c>
      <c r="L66" s="50">
        <f t="shared" si="10"/>
        <v>180.6</v>
      </c>
      <c r="N66" s="446"/>
      <c r="O66" s="9">
        <v>231.40700000000001</v>
      </c>
      <c r="P66" s="50">
        <f t="shared" si="11"/>
        <v>230.29666666666665</v>
      </c>
      <c r="Q66" s="50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</row>
    <row r="67" spans="1:29" x14ac:dyDescent="0.25">
      <c r="A67" s="269" t="s">
        <v>139</v>
      </c>
      <c r="B67" s="266">
        <v>7027.0324887747411</v>
      </c>
      <c r="C67" s="273">
        <f t="shared" si="2"/>
        <v>27943.900151418165</v>
      </c>
      <c r="D67" s="268">
        <f>'Ingreso estructural no oil'!L65</f>
        <v>68875.313999999998</v>
      </c>
      <c r="E67">
        <v>148.21707008327169</v>
      </c>
      <c r="F67" s="121">
        <f t="shared" si="3"/>
        <v>3.4962531466413038E-2</v>
      </c>
      <c r="G67" s="123">
        <f>H67/H63-1</f>
        <v>2.0486995336061131E-2</v>
      </c>
      <c r="H67" s="81">
        <f>P87</f>
        <v>237.76666666666665</v>
      </c>
      <c r="J67" s="446"/>
      <c r="K67" s="9">
        <v>181.3</v>
      </c>
      <c r="L67" s="50"/>
      <c r="N67" s="446"/>
      <c r="O67" s="9">
        <v>231.31700000000001</v>
      </c>
      <c r="P67" s="50"/>
      <c r="Q67" s="50"/>
      <c r="T67" s="122" t="s">
        <v>166</v>
      </c>
    </row>
    <row r="68" spans="1:29" x14ac:dyDescent="0.25">
      <c r="A68" s="269" t="s">
        <v>141</v>
      </c>
      <c r="B68" s="266">
        <v>7131.1624122920985</v>
      </c>
      <c r="C68" s="273">
        <f t="shared" si="2"/>
        <v>28097.885395924721</v>
      </c>
      <c r="D68" s="268">
        <f>'Ingreso estructural no oil'!L66</f>
        <v>69479.71699999999</v>
      </c>
      <c r="E68">
        <v>150.04032109445561</v>
      </c>
      <c r="F68" s="121">
        <f t="shared" si="3"/>
        <v>4.6470819057281565E-2</v>
      </c>
      <c r="G68" s="123">
        <f>H68/H64-1</f>
        <v>1.8220181916683176E-2</v>
      </c>
      <c r="H68" s="81">
        <f>P90</f>
        <v>238.06666666666669</v>
      </c>
      <c r="J68" s="446"/>
      <c r="K68" s="9">
        <v>181.3</v>
      </c>
      <c r="L68" s="50"/>
      <c r="N68" s="446"/>
      <c r="O68" s="9">
        <v>230.221</v>
      </c>
      <c r="P68" s="50"/>
      <c r="Q68" s="50"/>
      <c r="T68" s="143" t="s">
        <v>165</v>
      </c>
      <c r="U68" s="2" t="s">
        <v>160</v>
      </c>
      <c r="X68" s="126"/>
      <c r="Y68" s="126"/>
      <c r="Z68" s="126"/>
      <c r="AA68" s="126"/>
    </row>
    <row r="69" spans="1:29" ht="15.75" thickBot="1" x14ac:dyDescent="0.3">
      <c r="A69" s="269" t="s">
        <v>142</v>
      </c>
      <c r="B69" s="266">
        <v>7099.0309237852834</v>
      </c>
      <c r="C69" s="273">
        <f t="shared" si="2"/>
        <v>28157.375363419327</v>
      </c>
      <c r="D69" s="268">
        <f>'Ingreso estructural no oil'!L67</f>
        <v>70105.361999999994</v>
      </c>
      <c r="E69">
        <v>150.78990902032729</v>
      </c>
      <c r="F69" s="121">
        <f>E69/E65-1</f>
        <v>3.9438514001034264E-2</v>
      </c>
      <c r="G69" s="123">
        <f t="shared" ref="G69:G74" si="12">H69/H65-1</f>
        <v>8.7015459447608023E-3</v>
      </c>
      <c r="H69" s="81">
        <f>P93</f>
        <v>236.13333333333335</v>
      </c>
      <c r="J69" s="447"/>
      <c r="K69" s="60">
        <v>180.9</v>
      </c>
      <c r="L69" s="50">
        <f t="shared" si="10"/>
        <v>181.16666666666666</v>
      </c>
      <c r="N69" s="447"/>
      <c r="O69" s="60">
        <v>229.601</v>
      </c>
      <c r="P69" s="50">
        <f t="shared" si="11"/>
        <v>230.37966666666668</v>
      </c>
      <c r="Q69" s="50"/>
      <c r="R69" s="446">
        <v>2015</v>
      </c>
      <c r="S69" s="110">
        <v>42005</v>
      </c>
      <c r="T69" s="144">
        <v>3.5299999999999998E-2</v>
      </c>
      <c r="X69" s="126"/>
      <c r="Y69" s="126"/>
      <c r="Z69" s="126"/>
      <c r="AA69" s="126"/>
    </row>
    <row r="70" spans="1:29" x14ac:dyDescent="0.25">
      <c r="A70" s="269" t="s">
        <v>144</v>
      </c>
      <c r="B70" s="266">
        <v>7100.8805949931302</v>
      </c>
      <c r="C70" s="273">
        <f t="shared" ref="C70:C80" si="13">SUM(B67:B70)</f>
        <v>28358.106419845255</v>
      </c>
      <c r="D70" s="268">
        <f>'Ingreso estructural no oil'!L68</f>
        <v>70825.335999999996</v>
      </c>
      <c r="E70">
        <v>151.95847322621299</v>
      </c>
      <c r="F70" s="121">
        <f>U70</f>
        <v>3.78E-2</v>
      </c>
      <c r="G70" s="123">
        <f t="shared" si="12"/>
        <v>-7.0921985815597388E-4</v>
      </c>
      <c r="H70" s="81">
        <f>P96</f>
        <v>234.83333333333334</v>
      </c>
      <c r="J70" s="445">
        <v>2003</v>
      </c>
      <c r="K70" s="9">
        <v>181.7</v>
      </c>
      <c r="L70" s="50"/>
      <c r="N70" s="446">
        <v>2013</v>
      </c>
      <c r="O70" s="78">
        <v>230.28</v>
      </c>
      <c r="R70" s="446"/>
      <c r="S70" s="110">
        <v>42036</v>
      </c>
      <c r="T70" s="144">
        <v>4.0500000000000001E-2</v>
      </c>
      <c r="U70" s="111">
        <f>AVERAGE(T69:T71)</f>
        <v>3.78E-2</v>
      </c>
      <c r="X70" s="126"/>
      <c r="Y70" s="126"/>
      <c r="Z70" s="126"/>
      <c r="AA70" s="126"/>
    </row>
    <row r="71" spans="1:29" x14ac:dyDescent="0.25">
      <c r="A71" s="269" t="s">
        <v>147</v>
      </c>
      <c r="B71" s="266">
        <v>6933.8532537590881</v>
      </c>
      <c r="C71" s="273">
        <f t="shared" si="13"/>
        <v>28264.927184829598</v>
      </c>
      <c r="D71" s="268">
        <f>'Ingreso estructural no oil'!L69</f>
        <v>70869.042000000001</v>
      </c>
      <c r="F71" s="121">
        <f>U73</f>
        <v>4.58E-2</v>
      </c>
      <c r="G71" s="123">
        <f t="shared" si="12"/>
        <v>-4.2058040095327431E-4</v>
      </c>
      <c r="H71" s="81">
        <f>P99</f>
        <v>237.66666666666666</v>
      </c>
      <c r="J71" s="446"/>
      <c r="K71" s="9">
        <v>183.1</v>
      </c>
      <c r="L71" s="50"/>
      <c r="N71" s="446"/>
      <c r="O71" s="78">
        <v>232.166</v>
      </c>
      <c r="R71" s="446"/>
      <c r="S71" s="110">
        <v>42064</v>
      </c>
      <c r="T71" s="144">
        <v>3.7600000000000001E-2</v>
      </c>
      <c r="X71" s="126"/>
      <c r="Y71" s="126"/>
      <c r="Z71" s="126"/>
      <c r="AA71" s="126"/>
    </row>
    <row r="72" spans="1:29" x14ac:dyDescent="0.25">
      <c r="A72" s="269" t="s">
        <v>148</v>
      </c>
      <c r="B72" s="266">
        <v>6873.0914398661098</v>
      </c>
      <c r="C72" s="273">
        <f t="shared" si="13"/>
        <v>28006.856212403611</v>
      </c>
      <c r="D72" s="268">
        <f>'Ingreso estructural no oil'!L70</f>
        <v>70625.244999999995</v>
      </c>
      <c r="F72" s="121">
        <f>U76</f>
        <v>4.0933333333333329E-2</v>
      </c>
      <c r="G72" s="123">
        <f t="shared" si="12"/>
        <v>9.8011761411354037E-4</v>
      </c>
      <c r="H72" s="81">
        <f>P102</f>
        <v>238.29999999999998</v>
      </c>
      <c r="J72" s="446"/>
      <c r="K72" s="9">
        <v>184.2</v>
      </c>
      <c r="L72" s="50">
        <f>SUM(K70:K72)/3</f>
        <v>183</v>
      </c>
      <c r="N72" s="446"/>
      <c r="O72" s="78">
        <v>232.773</v>
      </c>
      <c r="P72" s="50">
        <f>SUM(O70:O72)/3</f>
        <v>231.73966666666669</v>
      </c>
      <c r="Q72" s="50"/>
      <c r="R72" s="446"/>
      <c r="S72" s="110">
        <v>42095</v>
      </c>
      <c r="T72" s="144">
        <v>4.3200000000000002E-2</v>
      </c>
      <c r="X72" s="126"/>
      <c r="Y72" s="126"/>
      <c r="Z72" s="126"/>
      <c r="AA72" s="126"/>
    </row>
    <row r="73" spans="1:29" x14ac:dyDescent="0.25">
      <c r="A73" s="269" t="s">
        <v>149</v>
      </c>
      <c r="B73" s="266">
        <v>6786.3416961087878</v>
      </c>
      <c r="C73" s="273">
        <f t="shared" si="13"/>
        <v>27694.166984727111</v>
      </c>
      <c r="D73" s="268">
        <f>'Ingreso estructural no oil'!L71</f>
        <v>70174.676999999996</v>
      </c>
      <c r="F73" s="121">
        <f>U79</f>
        <v>3.4200000000000001E-2</v>
      </c>
      <c r="G73" s="123">
        <f t="shared" si="12"/>
        <v>4.5172219085263254E-3</v>
      </c>
      <c r="H73" s="81">
        <f>P105</f>
        <v>237.20000000000002</v>
      </c>
      <c r="J73" s="446"/>
      <c r="K73" s="9">
        <v>183.8</v>
      </c>
      <c r="L73" s="50"/>
      <c r="N73" s="446"/>
      <c r="O73" s="78">
        <v>232.53100000000001</v>
      </c>
      <c r="R73" s="446"/>
      <c r="S73" s="110">
        <v>42125</v>
      </c>
      <c r="T73" s="144">
        <v>4.5499999999999999E-2</v>
      </c>
      <c r="U73" s="111">
        <f>AVERAGE(T72:T74)</f>
        <v>4.58E-2</v>
      </c>
      <c r="X73" s="126"/>
      <c r="Y73" s="126"/>
      <c r="Z73" s="126"/>
      <c r="AA73" s="126"/>
    </row>
    <row r="74" spans="1:29" x14ac:dyDescent="0.25">
      <c r="A74" s="269" t="s">
        <v>150</v>
      </c>
      <c r="B74" s="266">
        <v>6677.8981390640811</v>
      </c>
      <c r="C74" s="273">
        <f t="shared" si="13"/>
        <v>27271.184528798065</v>
      </c>
      <c r="D74" s="268">
        <f>'Ingreso estructural no oil'!L72</f>
        <v>69563.254000000001</v>
      </c>
      <c r="F74" s="121">
        <f>U82</f>
        <v>2.6699999999999998E-2</v>
      </c>
      <c r="G74" s="123">
        <f t="shared" si="12"/>
        <v>1.0787792760823312E-2</v>
      </c>
      <c r="H74" s="81">
        <f>P107</f>
        <v>237.36666666666667</v>
      </c>
      <c r="J74" s="446"/>
      <c r="K74" s="9">
        <v>183.5</v>
      </c>
      <c r="L74" s="50"/>
      <c r="M74" s="57"/>
      <c r="N74" s="446"/>
      <c r="O74" s="78">
        <v>232.94499999999999</v>
      </c>
      <c r="R74" s="446"/>
      <c r="S74" s="110">
        <v>42156</v>
      </c>
      <c r="T74" s="145">
        <v>4.87E-2</v>
      </c>
      <c r="U74" s="57"/>
      <c r="V74" s="57"/>
      <c r="W74" s="57"/>
      <c r="X74" s="126"/>
      <c r="Y74" s="126"/>
      <c r="Z74" s="126"/>
      <c r="AA74" s="126"/>
      <c r="AB74" s="57"/>
    </row>
    <row r="75" spans="1:29" x14ac:dyDescent="0.25">
      <c r="A75" s="269" t="s">
        <v>151</v>
      </c>
      <c r="B75" s="266">
        <v>6711.1415074422266</v>
      </c>
      <c r="C75" s="273">
        <f t="shared" si="13"/>
        <v>27048.472782481203</v>
      </c>
      <c r="D75" s="268">
        <f>'Ingreso estructural no oil'!L73</f>
        <v>69353.581999999995</v>
      </c>
      <c r="F75" s="121">
        <f>U85</f>
        <v>1.6666666666666666E-2</v>
      </c>
      <c r="G75" s="123">
        <f>H75/H71-1</f>
        <v>1.051893408134652E-2</v>
      </c>
      <c r="H75" s="81">
        <f>P110</f>
        <v>240.16666666666666</v>
      </c>
      <c r="J75" s="446"/>
      <c r="K75" s="9">
        <v>183.7</v>
      </c>
      <c r="L75" s="50">
        <f t="shared" ref="L75:L81" si="14">SUM(K73:K75)/3</f>
        <v>183.66666666666666</v>
      </c>
      <c r="N75" s="446"/>
      <c r="O75" s="78">
        <v>233.50399999999999</v>
      </c>
      <c r="P75" s="50">
        <f>SUM(O73:O75)/3</f>
        <v>232.99333333333334</v>
      </c>
      <c r="Q75" s="50"/>
      <c r="R75" s="446"/>
      <c r="S75" s="110">
        <v>42186</v>
      </c>
      <c r="T75" s="144">
        <v>4.36E-2</v>
      </c>
      <c r="X75" s="126"/>
      <c r="Y75" s="126"/>
      <c r="Z75" s="126"/>
      <c r="AA75" s="126"/>
    </row>
    <row r="76" spans="1:29" x14ac:dyDescent="0.25">
      <c r="A76" s="269" t="s">
        <v>152</v>
      </c>
      <c r="B76" s="266">
        <v>6728.6112438570308</v>
      </c>
      <c r="C76" s="273">
        <f t="shared" si="13"/>
        <v>26903.992586472126</v>
      </c>
      <c r="D76" s="268">
        <f>'Ingreso estructural no oil'!L74</f>
        <v>69172.264999999999</v>
      </c>
      <c r="E76" s="54">
        <f t="shared" ref="E76:E80" si="15">B76/B72-1</f>
        <v>-2.1021136889151193E-2</v>
      </c>
      <c r="F76" s="121">
        <f>U88</f>
        <v>1.4333333333333332E-2</v>
      </c>
      <c r="G76" s="123">
        <f t="shared" ref="G76:G80" si="16">H76/H72-1</f>
        <v>1.105049657294721E-2</v>
      </c>
      <c r="H76" s="81">
        <f>P113</f>
        <v>240.93333333333331</v>
      </c>
      <c r="J76" s="446"/>
      <c r="K76" s="9">
        <v>183.9</v>
      </c>
      <c r="L76" s="50"/>
      <c r="N76" s="446"/>
      <c r="O76" s="78">
        <v>233.596</v>
      </c>
      <c r="P76" s="78"/>
      <c r="Q76" s="78"/>
      <c r="R76" s="446"/>
      <c r="S76" s="110">
        <v>42217</v>
      </c>
      <c r="T76" s="144">
        <v>4.1399999999999999E-2</v>
      </c>
      <c r="U76" s="111">
        <f>AVERAGE(T75:T77)</f>
        <v>4.0933333333333329E-2</v>
      </c>
      <c r="X76" s="126"/>
      <c r="Y76" s="126"/>
      <c r="Z76" s="126"/>
      <c r="AA76" s="126"/>
    </row>
    <row r="77" spans="1:29" x14ac:dyDescent="0.25">
      <c r="A77" s="269" t="s">
        <v>153</v>
      </c>
      <c r="B77" s="266">
        <v>6857.8414109115884</v>
      </c>
      <c r="C77" s="273">
        <f t="shared" si="13"/>
        <v>26975.492301274924</v>
      </c>
      <c r="D77" s="268">
        <f>'Ingreso estructural no oil'!L75</f>
        <v>69314.065999999992</v>
      </c>
      <c r="E77" s="54">
        <f t="shared" si="15"/>
        <v>1.053582592868807E-2</v>
      </c>
      <c r="F77" s="121">
        <f>U91</f>
        <v>1.1600000000000001E-2</v>
      </c>
      <c r="G77" s="123">
        <f t="shared" si="16"/>
        <v>1.8128161888701477E-2</v>
      </c>
      <c r="H77" s="81">
        <f>P116</f>
        <v>241.5</v>
      </c>
      <c r="J77" s="446"/>
      <c r="K77" s="9">
        <v>184.6</v>
      </c>
      <c r="L77" s="50"/>
      <c r="N77" s="446"/>
      <c r="O77" s="78">
        <v>233.87700000000001</v>
      </c>
      <c r="R77" s="446"/>
      <c r="S77" s="110">
        <v>42248</v>
      </c>
      <c r="T77" s="144">
        <v>3.78E-2</v>
      </c>
      <c r="X77" s="126"/>
      <c r="Y77" s="126"/>
      <c r="Z77" s="126"/>
      <c r="AA77" s="126"/>
    </row>
    <row r="78" spans="1:29" x14ac:dyDescent="0.25">
      <c r="A78" s="269" t="s">
        <v>170</v>
      </c>
      <c r="B78" s="266">
        <v>6922.2891636254781</v>
      </c>
      <c r="C78" s="273">
        <f t="shared" si="13"/>
        <v>27219.883325836323</v>
      </c>
      <c r="D78" s="268">
        <f>'Ingreso estructural no oil'!L76</f>
        <v>69607.374000000011</v>
      </c>
      <c r="E78" s="54">
        <f t="shared" si="15"/>
        <v>3.659699795835003E-2</v>
      </c>
      <c r="F78" s="121">
        <f>U94</f>
        <v>9.3999999999999986E-3</v>
      </c>
      <c r="G78" s="123">
        <f t="shared" si="16"/>
        <v>2.5417778401909841E-2</v>
      </c>
      <c r="H78" s="81">
        <f>P119</f>
        <v>243.4</v>
      </c>
      <c r="J78" s="446"/>
      <c r="K78" s="9">
        <v>185.2</v>
      </c>
      <c r="L78" s="50">
        <f t="shared" si="14"/>
        <v>184.56666666666669</v>
      </c>
      <c r="N78" s="446"/>
      <c r="O78" s="78">
        <v>233.947</v>
      </c>
      <c r="P78" s="50">
        <f>SUM(O76:O78)/3</f>
        <v>233.8066666666667</v>
      </c>
      <c r="Q78" s="50"/>
      <c r="R78" s="446"/>
      <c r="S78" s="110">
        <v>42278</v>
      </c>
      <c r="T78" s="144">
        <v>3.4799999999999998E-2</v>
      </c>
      <c r="X78" s="126"/>
      <c r="Y78" s="126"/>
      <c r="Z78" s="126"/>
      <c r="AA78" s="126"/>
    </row>
    <row r="79" spans="1:29" x14ac:dyDescent="0.25">
      <c r="A79" s="269" t="s">
        <v>172</v>
      </c>
      <c r="B79" s="266">
        <v>7001.5663094780339</v>
      </c>
      <c r="C79" s="273">
        <f t="shared" si="13"/>
        <v>27510.308127872129</v>
      </c>
      <c r="D79" s="268">
        <f>'Ingreso estructural no oil'!L77</f>
        <v>69965.244999999995</v>
      </c>
      <c r="E79" s="54">
        <f t="shared" si="15"/>
        <v>4.3275022842797162E-2</v>
      </c>
      <c r="F79" s="121">
        <f>U97</f>
        <v>7.8333333333333328E-3</v>
      </c>
      <c r="G79" s="123">
        <f t="shared" si="16"/>
        <v>1.901457321304667E-2</v>
      </c>
      <c r="H79" s="81">
        <f>P122</f>
        <v>244.73333333333335</v>
      </c>
      <c r="J79" s="446"/>
      <c r="K79" s="9">
        <v>185</v>
      </c>
      <c r="L79" s="50"/>
      <c r="N79" s="446"/>
      <c r="O79" s="78">
        <v>233.80799999999999</v>
      </c>
      <c r="R79" s="446"/>
      <c r="S79" s="110">
        <v>42309</v>
      </c>
      <c r="T79" s="144">
        <v>3.4000000000000002E-2</v>
      </c>
      <c r="U79" s="111">
        <f>AVERAGE(T78:T80)</f>
        <v>3.4200000000000001E-2</v>
      </c>
      <c r="X79" s="126"/>
      <c r="Y79" s="126"/>
      <c r="Z79" s="126"/>
      <c r="AA79" s="126"/>
    </row>
    <row r="80" spans="1:29" ht="15.75" thickBot="1" x14ac:dyDescent="0.3">
      <c r="A80" s="269" t="s">
        <v>174</v>
      </c>
      <c r="B80" s="266">
        <v>7032.1433424134857</v>
      </c>
      <c r="C80" s="273">
        <f t="shared" si="13"/>
        <v>27813.840226428587</v>
      </c>
      <c r="D80" s="268">
        <f>'Ingreso estructural no oil'!L78</f>
        <v>70473.741999999998</v>
      </c>
      <c r="E80" s="54">
        <f t="shared" si="15"/>
        <v>4.5110660663233881E-2</v>
      </c>
      <c r="F80" s="121">
        <f>U100</f>
        <v>1.1666666666666668E-3</v>
      </c>
      <c r="G80" s="123">
        <f t="shared" si="16"/>
        <v>1.9784172661870603E-2</v>
      </c>
      <c r="H80" s="81">
        <f>P125</f>
        <v>245.70000000000002</v>
      </c>
      <c r="J80" s="446"/>
      <c r="K80" s="9">
        <v>184.5</v>
      </c>
      <c r="L80" s="50"/>
      <c r="N80" s="446"/>
      <c r="O80" s="78">
        <v>233.887</v>
      </c>
      <c r="R80" s="447"/>
      <c r="S80" s="110">
        <v>42339</v>
      </c>
      <c r="T80" s="144">
        <v>3.3799999999999997E-2</v>
      </c>
      <c r="X80" s="126"/>
      <c r="Y80" s="126"/>
      <c r="Z80" s="126"/>
      <c r="AA80" s="126"/>
    </row>
    <row r="81" spans="1:28" ht="15.75" thickBot="1" x14ac:dyDescent="0.3">
      <c r="A81" s="269" t="s">
        <v>190</v>
      </c>
      <c r="B81" s="266">
        <v>7165.0358838734992</v>
      </c>
      <c r="C81" s="273">
        <f>SUM(B78:B81)</f>
        <v>28121.034699390497</v>
      </c>
      <c r="D81" s="268">
        <f>'Ingreso estructural no oil'!L79</f>
        <v>70955.691000000006</v>
      </c>
      <c r="E81" s="54">
        <f>B81/B77-1</f>
        <v>4.479463063597966E-2</v>
      </c>
      <c r="F81" s="121">
        <f>U103</f>
        <v>-1.7000000000000001E-3</v>
      </c>
      <c r="G81" s="123">
        <f>H81/H77-1</f>
        <v>2.1256038647343045E-2</v>
      </c>
      <c r="H81" s="81">
        <f>P128</f>
        <v>246.63333333333333</v>
      </c>
      <c r="J81" s="447"/>
      <c r="K81" s="60">
        <v>184.3</v>
      </c>
      <c r="L81" s="50">
        <f t="shared" si="14"/>
        <v>184.6</v>
      </c>
      <c r="N81" s="447"/>
      <c r="O81" s="78">
        <v>234.59399999999999</v>
      </c>
      <c r="P81" s="50">
        <f>SUM(O79:O81)/3</f>
        <v>234.09633333333332</v>
      </c>
      <c r="Q81" s="50"/>
      <c r="R81" s="446">
        <v>2016</v>
      </c>
      <c r="S81" s="110">
        <v>42370</v>
      </c>
      <c r="T81" s="144">
        <v>3.0899999999999997E-2</v>
      </c>
      <c r="X81" s="126"/>
      <c r="Y81" s="126"/>
      <c r="Z81" s="126"/>
      <c r="AA81" s="126"/>
    </row>
    <row r="82" spans="1:28" ht="15" customHeight="1" x14ac:dyDescent="0.25">
      <c r="A82" s="269" t="s">
        <v>246</v>
      </c>
      <c r="F82" s="111">
        <v>-2.0999999999999999E-3</v>
      </c>
      <c r="G82" s="123">
        <f t="shared" ref="G82:G85" si="17">H82/H78-1</f>
        <v>2.2322651328403165E-2</v>
      </c>
      <c r="H82" s="81">
        <f>P131</f>
        <v>248.83333333333334</v>
      </c>
      <c r="J82" s="445">
        <v>2004</v>
      </c>
      <c r="K82" s="9">
        <v>185.2</v>
      </c>
      <c r="L82" s="50"/>
      <c r="N82" s="446">
        <v>2014</v>
      </c>
      <c r="O82" s="86">
        <v>233.9</v>
      </c>
      <c r="R82" s="446"/>
      <c r="S82" s="110">
        <v>42401</v>
      </c>
      <c r="T82" s="144">
        <v>2.5999999999999999E-2</v>
      </c>
      <c r="U82" s="111">
        <f>AVERAGE(T81:T83)</f>
        <v>2.6699999999999998E-2</v>
      </c>
      <c r="X82" s="126"/>
      <c r="Y82" s="126"/>
      <c r="Z82" s="126"/>
      <c r="AA82" s="126"/>
    </row>
    <row r="83" spans="1:28" x14ac:dyDescent="0.25">
      <c r="A83" s="269" t="s">
        <v>247</v>
      </c>
      <c r="F83" s="111">
        <v>-7.1000000000000004E-3</v>
      </c>
      <c r="G83" s="123">
        <f t="shared" si="17"/>
        <v>2.7104331244892421E-2</v>
      </c>
      <c r="H83" s="81">
        <f>P134</f>
        <v>251.36666666666667</v>
      </c>
      <c r="J83" s="446"/>
      <c r="K83" s="9">
        <v>186.2</v>
      </c>
      <c r="L83" s="50"/>
      <c r="N83" s="446"/>
      <c r="O83" s="86">
        <v>234.8</v>
      </c>
      <c r="R83" s="446"/>
      <c r="S83" s="110">
        <v>42430</v>
      </c>
      <c r="T83" s="144">
        <v>2.3199999999999998E-2</v>
      </c>
      <c r="X83" s="126"/>
      <c r="Y83" s="126"/>
      <c r="Z83" s="126"/>
      <c r="AA83" s="126"/>
    </row>
    <row r="84" spans="1:28" x14ac:dyDescent="0.25">
      <c r="A84" s="269" t="s">
        <v>248</v>
      </c>
      <c r="F84" s="111">
        <v>2.3E-3</v>
      </c>
      <c r="G84" s="123">
        <f t="shared" si="17"/>
        <v>2.6319359652692942E-2</v>
      </c>
      <c r="H84" s="81">
        <f>P137</f>
        <v>252.16666666666666</v>
      </c>
      <c r="J84" s="446"/>
      <c r="K84" s="9">
        <v>187.4</v>
      </c>
      <c r="L84" s="50">
        <f>SUM(K82:K84)/3</f>
        <v>186.26666666666665</v>
      </c>
      <c r="N84" s="446"/>
      <c r="O84" s="86">
        <v>236.3</v>
      </c>
      <c r="P84" s="9">
        <f>AVERAGE(O82:O84)</f>
        <v>235</v>
      </c>
      <c r="Q84" s="9"/>
      <c r="R84" s="446"/>
      <c r="S84" s="110">
        <v>42461</v>
      </c>
      <c r="T84" s="144">
        <v>1.78E-2</v>
      </c>
      <c r="X84" s="126"/>
      <c r="Y84" s="126"/>
      <c r="Z84" s="126"/>
      <c r="AA84" s="126"/>
    </row>
    <row r="85" spans="1:28" x14ac:dyDescent="0.25">
      <c r="A85" s="269" t="s">
        <v>249</v>
      </c>
      <c r="F85" s="111">
        <v>2.7000000000000001E-3</v>
      </c>
      <c r="G85" s="123">
        <f t="shared" si="17"/>
        <v>2.1894850655493903E-2</v>
      </c>
      <c r="H85" s="81">
        <f>P140</f>
        <v>252.0333333333333</v>
      </c>
      <c r="J85" s="446"/>
      <c r="K85" s="9">
        <v>188</v>
      </c>
      <c r="L85" s="50"/>
      <c r="M85" s="57"/>
      <c r="N85" s="446"/>
      <c r="O85" s="86">
        <v>237.1</v>
      </c>
      <c r="R85" s="446"/>
      <c r="S85" s="110">
        <v>42491</v>
      </c>
      <c r="T85" s="145">
        <v>1.6299999999999999E-2</v>
      </c>
      <c r="U85" s="112">
        <f>AVERAGE(T84:T86)</f>
        <v>1.6666666666666666E-2</v>
      </c>
      <c r="V85" s="57"/>
      <c r="W85" s="57"/>
      <c r="X85" s="126"/>
      <c r="Y85" s="126"/>
      <c r="Z85" s="126"/>
      <c r="AA85" s="126"/>
      <c r="AB85" s="57"/>
    </row>
    <row r="86" spans="1:28" x14ac:dyDescent="0.25">
      <c r="J86" s="446"/>
      <c r="K86" s="9">
        <v>189.1</v>
      </c>
      <c r="L86" s="50"/>
      <c r="N86" s="446"/>
      <c r="O86" s="86">
        <v>237.9</v>
      </c>
      <c r="R86" s="446"/>
      <c r="S86" s="110">
        <v>42522</v>
      </c>
      <c r="T86" s="144">
        <v>1.5900000000000001E-2</v>
      </c>
      <c r="X86" s="126"/>
      <c r="Y86" s="126"/>
      <c r="Z86" s="126"/>
      <c r="AA86" s="126"/>
    </row>
    <row r="87" spans="1:28" x14ac:dyDescent="0.25">
      <c r="J87" s="446"/>
      <c r="K87" s="9">
        <v>189.7</v>
      </c>
      <c r="L87" s="50">
        <f>SUM(K85:K87)/3</f>
        <v>188.93333333333331</v>
      </c>
      <c r="N87" s="446"/>
      <c r="O87" s="86">
        <v>238.3</v>
      </c>
      <c r="P87" s="9">
        <f>AVERAGE(O85:O87)</f>
        <v>237.76666666666665</v>
      </c>
      <c r="Q87" s="9"/>
      <c r="R87" s="446"/>
      <c r="S87" s="110">
        <v>42552</v>
      </c>
      <c r="T87" s="144">
        <v>1.5800000000000002E-2</v>
      </c>
      <c r="X87" s="126"/>
      <c r="Y87" s="126"/>
      <c r="Z87" s="126"/>
      <c r="AA87" s="126"/>
    </row>
    <row r="88" spans="1:28" x14ac:dyDescent="0.25">
      <c r="J88" s="446"/>
      <c r="K88" s="9">
        <v>189.4</v>
      </c>
      <c r="L88" s="50"/>
      <c r="N88" s="446"/>
      <c r="O88" s="86">
        <v>238.3</v>
      </c>
      <c r="R88" s="446"/>
      <c r="S88" s="110">
        <v>42583</v>
      </c>
      <c r="T88" s="144">
        <v>1.4199999999999999E-2</v>
      </c>
      <c r="U88" s="112">
        <f>AVERAGE(T87:T89)</f>
        <v>1.4333333333333332E-2</v>
      </c>
      <c r="X88" s="126"/>
      <c r="Y88" s="126"/>
      <c r="Z88" s="126"/>
      <c r="AA88" s="126"/>
    </row>
    <row r="89" spans="1:28" x14ac:dyDescent="0.25">
      <c r="J89" s="446"/>
      <c r="K89" s="9">
        <v>189.5</v>
      </c>
      <c r="L89" s="50"/>
      <c r="N89" s="446"/>
      <c r="O89" s="86">
        <v>237.9</v>
      </c>
      <c r="R89" s="446"/>
      <c r="S89" s="110">
        <v>42614</v>
      </c>
      <c r="T89" s="144">
        <v>1.3000000000000001E-2</v>
      </c>
      <c r="X89" s="126"/>
      <c r="Y89" s="126"/>
      <c r="Z89" s="126"/>
      <c r="AA89" s="126"/>
    </row>
    <row r="90" spans="1:28" x14ac:dyDescent="0.25">
      <c r="J90" s="446"/>
      <c r="K90" s="9">
        <v>189.9</v>
      </c>
      <c r="L90" s="50">
        <f>SUM(K88:K90)/3</f>
        <v>189.6</v>
      </c>
      <c r="N90" s="446"/>
      <c r="O90" s="86">
        <v>238</v>
      </c>
      <c r="P90" s="9">
        <f>AVERAGE(O88:O90)</f>
        <v>238.06666666666669</v>
      </c>
      <c r="Q90" s="9"/>
      <c r="R90" s="446"/>
      <c r="S90" s="110">
        <v>42644</v>
      </c>
      <c r="T90" s="144">
        <v>1.3100000000000001E-2</v>
      </c>
      <c r="X90" s="126"/>
      <c r="Y90" s="126"/>
      <c r="Z90" s="126"/>
      <c r="AA90" s="126"/>
    </row>
    <row r="91" spans="1:28" x14ac:dyDescent="0.25">
      <c r="J91" s="446"/>
      <c r="K91" s="9">
        <v>190.9</v>
      </c>
      <c r="L91" s="50"/>
      <c r="N91" s="446"/>
      <c r="O91" s="86">
        <v>237.4</v>
      </c>
      <c r="R91" s="446"/>
      <c r="S91" s="110">
        <v>42675</v>
      </c>
      <c r="T91" s="144">
        <v>1.0500000000000001E-2</v>
      </c>
      <c r="U91" s="112">
        <f>AVERAGE(T90:T92)</f>
        <v>1.1600000000000001E-2</v>
      </c>
      <c r="X91" s="126"/>
      <c r="Y91" s="126"/>
      <c r="Z91" s="126"/>
      <c r="AA91" s="126"/>
    </row>
    <row r="92" spans="1:28" ht="15.75" thickBot="1" x14ac:dyDescent="0.3">
      <c r="J92" s="446"/>
      <c r="K92" s="9">
        <v>191</v>
      </c>
      <c r="L92" s="50"/>
      <c r="N92" s="446"/>
      <c r="O92" s="86">
        <v>236.2</v>
      </c>
      <c r="R92" s="447"/>
      <c r="S92" s="110">
        <v>42705</v>
      </c>
      <c r="T92" s="144">
        <v>1.12E-2</v>
      </c>
      <c r="X92" s="126"/>
      <c r="Y92" s="126"/>
      <c r="Z92" s="126"/>
      <c r="AA92" s="126"/>
    </row>
    <row r="93" spans="1:28" ht="15.75" thickBot="1" x14ac:dyDescent="0.3">
      <c r="J93" s="447"/>
      <c r="K93" s="60">
        <v>190.3</v>
      </c>
      <c r="L93" s="50">
        <f>SUM(K91:K93)/3</f>
        <v>190.73333333333335</v>
      </c>
      <c r="N93" s="447"/>
      <c r="O93" s="86">
        <v>234.8</v>
      </c>
      <c r="P93" s="9">
        <f>AVERAGE(O91:O93)</f>
        <v>236.13333333333335</v>
      </c>
      <c r="Q93" s="9"/>
      <c r="R93" s="446">
        <v>2017</v>
      </c>
      <c r="S93" s="110">
        <v>42736</v>
      </c>
      <c r="T93" s="144">
        <v>8.9999999999999993E-3</v>
      </c>
      <c r="X93" s="126"/>
      <c r="Y93" s="126"/>
      <c r="Z93" s="126"/>
      <c r="AA93" s="126"/>
    </row>
    <row r="94" spans="1:28" ht="15" customHeight="1" x14ac:dyDescent="0.25">
      <c r="J94" s="445">
        <v>2005</v>
      </c>
      <c r="K94" s="9">
        <v>190.7</v>
      </c>
      <c r="L94" s="50"/>
      <c r="N94" s="446">
        <v>2015</v>
      </c>
      <c r="O94" s="86">
        <v>233.7</v>
      </c>
      <c r="R94" s="446"/>
      <c r="S94" s="110">
        <v>42767</v>
      </c>
      <c r="T94" s="144">
        <v>9.5999999999999992E-3</v>
      </c>
      <c r="U94" s="112">
        <f>AVERAGE(T93:T95)</f>
        <v>9.3999999999999986E-3</v>
      </c>
      <c r="X94" s="126"/>
      <c r="Y94" s="126"/>
      <c r="Z94" s="126"/>
      <c r="AA94" s="126"/>
    </row>
    <row r="95" spans="1:28" x14ac:dyDescent="0.25">
      <c r="J95" s="446"/>
      <c r="K95" s="9">
        <v>191.8</v>
      </c>
      <c r="L95" s="50"/>
      <c r="N95" s="446"/>
      <c r="O95" s="86">
        <v>234.7</v>
      </c>
      <c r="R95" s="446"/>
      <c r="S95" s="110">
        <v>42795</v>
      </c>
      <c r="T95" s="144">
        <v>9.5999999999999992E-3</v>
      </c>
      <c r="X95" s="126"/>
      <c r="Y95" s="126"/>
      <c r="Z95" s="126"/>
      <c r="AA95" s="126"/>
    </row>
    <row r="96" spans="1:28" x14ac:dyDescent="0.25">
      <c r="J96" s="446"/>
      <c r="K96" s="9">
        <v>193.3</v>
      </c>
      <c r="L96" s="50">
        <f>SUM(K94:K96)/3</f>
        <v>191.93333333333331</v>
      </c>
      <c r="N96" s="446"/>
      <c r="O96" s="86">
        <v>236.1</v>
      </c>
      <c r="P96" s="9">
        <f>AVERAGE(O94:O96)</f>
        <v>234.83333333333334</v>
      </c>
      <c r="Q96" s="9"/>
      <c r="R96" s="446"/>
      <c r="S96" s="110">
        <v>42826</v>
      </c>
      <c r="T96" s="144">
        <v>1.09E-2</v>
      </c>
      <c r="X96" s="126"/>
      <c r="Y96" s="126"/>
      <c r="Z96" s="126"/>
      <c r="AA96" s="126"/>
    </row>
    <row r="97" spans="10:28" x14ac:dyDescent="0.25">
      <c r="J97" s="446"/>
      <c r="K97" s="9">
        <v>194.6</v>
      </c>
      <c r="L97" s="50"/>
      <c r="N97" s="446"/>
      <c r="O97" s="86">
        <v>236.6</v>
      </c>
      <c r="R97" s="446"/>
      <c r="S97" s="110">
        <v>42856</v>
      </c>
      <c r="T97" s="144">
        <v>1.0999999999999999E-2</v>
      </c>
      <c r="U97" s="112">
        <f>AVERAGE(T96:T98)</f>
        <v>7.8333333333333328E-3</v>
      </c>
      <c r="X97" s="126"/>
      <c r="Y97" s="126"/>
      <c r="Z97" s="126"/>
      <c r="AA97" s="126"/>
    </row>
    <row r="98" spans="10:28" x14ac:dyDescent="0.25">
      <c r="J98" s="446"/>
      <c r="K98" s="9">
        <v>194.4</v>
      </c>
      <c r="L98" s="50"/>
      <c r="N98" s="446"/>
      <c r="O98" s="86">
        <v>237.8</v>
      </c>
      <c r="R98" s="446"/>
      <c r="S98" s="110">
        <v>42887</v>
      </c>
      <c r="T98" s="144">
        <v>1.6000000000000001E-3</v>
      </c>
      <c r="U98" s="59"/>
      <c r="V98" s="59"/>
      <c r="X98" s="126"/>
      <c r="Y98" s="126"/>
      <c r="Z98" s="126"/>
      <c r="AA98" s="126"/>
    </row>
    <row r="99" spans="10:28" x14ac:dyDescent="0.25">
      <c r="J99" s="446"/>
      <c r="K99" s="9">
        <v>194.5</v>
      </c>
      <c r="L99" s="50">
        <f t="shared" ref="L99:L105" si="18">SUM(K97:K99)/3</f>
        <v>194.5</v>
      </c>
      <c r="N99" s="446"/>
      <c r="O99" s="86">
        <v>238.6</v>
      </c>
      <c r="P99" s="9">
        <f>AVERAGE(O97:O99)</f>
        <v>237.66666666666666</v>
      </c>
      <c r="Q99" s="9"/>
      <c r="R99" s="446"/>
      <c r="S99" s="110">
        <v>42917</v>
      </c>
      <c r="T99" s="144">
        <v>1E-3</v>
      </c>
      <c r="X99" s="126"/>
      <c r="Y99" s="126"/>
      <c r="Z99" s="126"/>
      <c r="AA99" s="126"/>
    </row>
    <row r="100" spans="10:28" x14ac:dyDescent="0.25">
      <c r="J100" s="446"/>
      <c r="K100" s="9">
        <v>195.4</v>
      </c>
      <c r="L100" s="50"/>
      <c r="N100" s="446"/>
      <c r="O100" s="86">
        <v>238.7</v>
      </c>
      <c r="R100" s="446"/>
      <c r="S100" s="110">
        <v>42948</v>
      </c>
      <c r="T100" s="144">
        <v>2.8E-3</v>
      </c>
      <c r="U100" s="112">
        <f>AVERAGE(T99:T101)</f>
        <v>1.1666666666666668E-3</v>
      </c>
      <c r="X100" s="126"/>
      <c r="Y100" s="126"/>
      <c r="Z100" s="126"/>
      <c r="AA100" s="126"/>
    </row>
    <row r="101" spans="10:28" x14ac:dyDescent="0.25">
      <c r="J101" s="446"/>
      <c r="K101" s="9">
        <v>196.4</v>
      </c>
      <c r="L101" s="50"/>
      <c r="N101" s="446"/>
      <c r="O101" s="86">
        <v>238.3</v>
      </c>
      <c r="R101" s="446"/>
      <c r="S101" s="110">
        <v>42979</v>
      </c>
      <c r="T101" s="144">
        <v>-2.9999999999999997E-4</v>
      </c>
      <c r="V101" s="126"/>
      <c r="X101" s="126"/>
      <c r="Y101" s="126"/>
      <c r="Z101" s="126"/>
      <c r="AA101" s="126"/>
    </row>
    <row r="102" spans="10:28" x14ac:dyDescent="0.25">
      <c r="J102" s="446"/>
      <c r="K102" s="9">
        <v>198.8</v>
      </c>
      <c r="L102" s="50">
        <f t="shared" si="18"/>
        <v>196.86666666666667</v>
      </c>
      <c r="N102" s="446"/>
      <c r="O102" s="86">
        <v>237.9</v>
      </c>
      <c r="P102" s="9">
        <f>AVERAGE(O100:O102)</f>
        <v>238.29999999999998</v>
      </c>
      <c r="Q102" s="9"/>
      <c r="R102" s="446"/>
      <c r="S102" s="110">
        <v>43009</v>
      </c>
      <c r="T102" s="144">
        <v>-8.9999999999999998E-4</v>
      </c>
      <c r="U102" s="126"/>
      <c r="V102" s="126"/>
      <c r="X102" s="126"/>
      <c r="Y102" s="126"/>
      <c r="Z102" s="126"/>
      <c r="AA102" s="126"/>
    </row>
    <row r="103" spans="10:28" x14ac:dyDescent="0.25">
      <c r="J103" s="446"/>
      <c r="K103" s="9">
        <v>199.2</v>
      </c>
      <c r="L103" s="50"/>
      <c r="M103" s="59"/>
      <c r="N103" s="446"/>
      <c r="O103" s="86">
        <v>237.8</v>
      </c>
      <c r="R103" s="446"/>
      <c r="S103" s="110">
        <v>43040</v>
      </c>
      <c r="T103" s="144">
        <v>-2.2000000000000001E-3</v>
      </c>
      <c r="U103" s="112">
        <f>AVERAGE(T102:T104)</f>
        <v>-1.7000000000000001E-3</v>
      </c>
      <c r="V103" s="126"/>
      <c r="W103" s="59"/>
      <c r="X103" s="126"/>
      <c r="Y103" s="126"/>
      <c r="Z103" s="126"/>
      <c r="AA103" s="126"/>
      <c r="AB103" s="59"/>
    </row>
    <row r="104" spans="10:28" ht="15.75" thickBot="1" x14ac:dyDescent="0.3">
      <c r="J104" s="446"/>
      <c r="K104" s="9">
        <v>197.6</v>
      </c>
      <c r="L104" s="50"/>
      <c r="N104" s="446"/>
      <c r="O104" s="86">
        <v>237.3</v>
      </c>
      <c r="R104" s="447"/>
      <c r="S104" s="110">
        <v>43070</v>
      </c>
      <c r="T104" s="144">
        <v>-2E-3</v>
      </c>
      <c r="U104" s="126"/>
      <c r="V104" s="126"/>
    </row>
    <row r="105" spans="10:28" ht="15.75" thickBot="1" x14ac:dyDescent="0.3">
      <c r="J105" s="447"/>
      <c r="K105" s="60">
        <v>196.8</v>
      </c>
      <c r="L105" s="50">
        <f t="shared" si="18"/>
        <v>197.86666666666665</v>
      </c>
      <c r="N105" s="447"/>
      <c r="O105" s="86">
        <v>236.5</v>
      </c>
      <c r="P105" s="9">
        <f>AVERAGE(O103:O105)</f>
        <v>237.20000000000002</v>
      </c>
      <c r="Q105" s="9"/>
      <c r="S105" s="110"/>
      <c r="T105" s="111"/>
    </row>
    <row r="106" spans="10:28" ht="29.25" customHeight="1" x14ac:dyDescent="0.25">
      <c r="J106" s="445">
        <v>2006</v>
      </c>
      <c r="K106" s="9">
        <v>198.3</v>
      </c>
      <c r="L106" s="50"/>
      <c r="N106" s="446">
        <v>2016</v>
      </c>
      <c r="O106" s="86">
        <v>236.9</v>
      </c>
      <c r="S106" s="110"/>
      <c r="T106" s="86"/>
      <c r="U106" s="86"/>
    </row>
    <row r="107" spans="10:28" x14ac:dyDescent="0.25">
      <c r="J107" s="446"/>
      <c r="K107" s="9">
        <v>198.7</v>
      </c>
      <c r="L107" s="50"/>
      <c r="N107" s="446"/>
      <c r="O107" s="86">
        <v>237.1</v>
      </c>
      <c r="P107" s="9">
        <f>AVERAGE(O106:O108)</f>
        <v>237.36666666666667</v>
      </c>
      <c r="Q107" s="9"/>
      <c r="S107" s="110"/>
      <c r="T107" s="86"/>
    </row>
    <row r="108" spans="10:28" x14ac:dyDescent="0.25">
      <c r="J108" s="446"/>
      <c r="K108" s="9">
        <v>199.8</v>
      </c>
      <c r="L108" s="50">
        <f>SUM(K106:K108)/3</f>
        <v>198.93333333333331</v>
      </c>
      <c r="N108" s="446"/>
      <c r="O108" s="86">
        <v>238.1</v>
      </c>
      <c r="S108" s="110"/>
      <c r="T108" s="126"/>
      <c r="U108" s="126"/>
    </row>
    <row r="109" spans="10:28" x14ac:dyDescent="0.25">
      <c r="J109" s="446"/>
      <c r="K109" s="9">
        <v>201.5</v>
      </c>
      <c r="L109" s="50"/>
      <c r="N109" s="446"/>
      <c r="O109" s="86">
        <v>239.3</v>
      </c>
      <c r="S109" s="110"/>
      <c r="T109" s="59"/>
      <c r="U109" s="59"/>
    </row>
    <row r="110" spans="10:28" x14ac:dyDescent="0.25">
      <c r="J110" s="446"/>
      <c r="K110" s="9">
        <v>202.5</v>
      </c>
      <c r="L110" s="50"/>
      <c r="N110" s="446"/>
      <c r="O110" s="86">
        <v>240.2</v>
      </c>
      <c r="P110" s="9">
        <f>AVERAGE(O109:O111)</f>
        <v>240.16666666666666</v>
      </c>
      <c r="Q110" s="9"/>
      <c r="S110" s="110"/>
      <c r="T110" s="126"/>
      <c r="U110" s="126"/>
    </row>
    <row r="111" spans="10:28" x14ac:dyDescent="0.25">
      <c r="J111" s="446"/>
      <c r="K111" s="9">
        <v>202.9</v>
      </c>
      <c r="L111" s="50">
        <f t="shared" ref="L111:L117" si="19">SUM(K109:K111)/3</f>
        <v>202.29999999999998</v>
      </c>
      <c r="N111" s="446"/>
      <c r="O111" s="86">
        <v>241</v>
      </c>
      <c r="S111" s="110"/>
      <c r="T111" s="59"/>
      <c r="U111" s="59"/>
    </row>
    <row r="112" spans="10:28" x14ac:dyDescent="0.25">
      <c r="J112" s="446"/>
      <c r="K112" s="9">
        <v>203.5</v>
      </c>
      <c r="L112" s="50"/>
      <c r="N112" s="446"/>
      <c r="O112" s="86">
        <v>240.6</v>
      </c>
      <c r="S112" s="110"/>
      <c r="T112" s="126"/>
      <c r="U112" s="126"/>
    </row>
    <row r="113" spans="10:29" x14ac:dyDescent="0.25">
      <c r="J113" s="446"/>
      <c r="K113" s="9">
        <v>203.9</v>
      </c>
      <c r="L113" s="50"/>
      <c r="N113" s="446"/>
      <c r="O113" s="86">
        <v>240.8</v>
      </c>
      <c r="P113" s="9">
        <f>AVERAGE(O112:O114)</f>
        <v>240.93333333333331</v>
      </c>
      <c r="Q113" s="9"/>
      <c r="R113" s="57"/>
      <c r="S113" s="110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</row>
    <row r="114" spans="10:29" x14ac:dyDescent="0.25">
      <c r="J114" s="446"/>
      <c r="K114" s="9">
        <v>202.9</v>
      </c>
      <c r="L114" s="50">
        <f t="shared" si="19"/>
        <v>203.43333333333331</v>
      </c>
      <c r="N114" s="446"/>
      <c r="O114" s="86">
        <v>241.4</v>
      </c>
      <c r="S114" s="110"/>
      <c r="T114" s="126"/>
      <c r="U114" s="126"/>
    </row>
    <row r="115" spans="10:29" x14ac:dyDescent="0.25">
      <c r="J115" s="446"/>
      <c r="K115" s="9">
        <v>201.8</v>
      </c>
      <c r="L115" s="50"/>
      <c r="N115" s="446"/>
      <c r="O115" s="86">
        <v>241.7</v>
      </c>
      <c r="P115" s="113"/>
      <c r="Q115" s="113"/>
      <c r="S115" s="110"/>
      <c r="T115" s="59"/>
      <c r="U115" s="59"/>
    </row>
    <row r="116" spans="10:29" x14ac:dyDescent="0.25">
      <c r="J116" s="446"/>
      <c r="K116" s="9">
        <v>201.5</v>
      </c>
      <c r="L116" s="50"/>
      <c r="N116" s="446"/>
      <c r="O116" s="86">
        <v>241.4</v>
      </c>
      <c r="P116" s="9">
        <f>AVERAGE(O115:O117)</f>
        <v>241.5</v>
      </c>
      <c r="Q116" s="9"/>
      <c r="T116" s="126"/>
      <c r="U116" s="126"/>
    </row>
    <row r="117" spans="10:29" ht="15.75" thickBot="1" x14ac:dyDescent="0.3">
      <c r="J117" s="447"/>
      <c r="K117" s="60">
        <v>201.8</v>
      </c>
      <c r="L117" s="50">
        <f t="shared" si="19"/>
        <v>201.70000000000002</v>
      </c>
      <c r="N117" s="447"/>
      <c r="O117" s="86">
        <v>241.4</v>
      </c>
      <c r="P117" s="135"/>
      <c r="Q117" s="135"/>
      <c r="T117" s="59"/>
      <c r="U117" s="59"/>
    </row>
    <row r="118" spans="10:29" ht="29.25" customHeight="1" x14ac:dyDescent="0.25">
      <c r="J118" s="445">
        <v>2007</v>
      </c>
      <c r="K118" s="9">
        <v>202.416</v>
      </c>
      <c r="L118" s="50"/>
      <c r="M118" s="446">
        <v>2017</v>
      </c>
      <c r="N118" s="110">
        <v>42736</v>
      </c>
      <c r="O118" s="86">
        <v>242.8</v>
      </c>
      <c r="P118" s="135"/>
      <c r="Q118" s="135"/>
      <c r="T118" s="126"/>
      <c r="U118" s="126"/>
    </row>
    <row r="119" spans="10:29" x14ac:dyDescent="0.25">
      <c r="J119" s="446"/>
      <c r="K119" s="9">
        <v>203.499</v>
      </c>
      <c r="L119" s="50"/>
      <c r="M119" s="446"/>
      <c r="N119" s="110">
        <v>42767</v>
      </c>
      <c r="O119" s="86">
        <v>243.6</v>
      </c>
      <c r="P119" s="9">
        <f>AVERAGE(O118:O120)</f>
        <v>243.4</v>
      </c>
      <c r="Q119" s="9"/>
      <c r="T119" s="59"/>
      <c r="U119" s="59"/>
    </row>
    <row r="120" spans="10:29" x14ac:dyDescent="0.25">
      <c r="J120" s="446"/>
      <c r="K120" s="9">
        <v>205.352</v>
      </c>
      <c r="L120" s="50">
        <f>SUM(K118:K120)/3</f>
        <v>203.75566666666666</v>
      </c>
      <c r="M120" s="446"/>
      <c r="N120" s="110">
        <v>42795</v>
      </c>
      <c r="O120" s="86">
        <v>243.8</v>
      </c>
      <c r="P120" s="135"/>
      <c r="Q120" s="135"/>
      <c r="T120" s="126"/>
      <c r="U120" s="126"/>
    </row>
    <row r="121" spans="10:29" x14ac:dyDescent="0.25">
      <c r="J121" s="446"/>
      <c r="K121" s="9">
        <v>206.68600000000001</v>
      </c>
      <c r="L121" s="50"/>
      <c r="M121" s="446"/>
      <c r="N121" s="110">
        <v>42826</v>
      </c>
      <c r="O121" s="86">
        <v>244.5</v>
      </c>
      <c r="P121" s="135"/>
      <c r="Q121" s="135"/>
    </row>
    <row r="122" spans="10:29" x14ac:dyDescent="0.25">
      <c r="J122" s="446"/>
      <c r="K122" s="9">
        <v>207.94900000000001</v>
      </c>
      <c r="L122" s="50"/>
      <c r="M122" s="446"/>
      <c r="N122" s="110">
        <v>42856</v>
      </c>
      <c r="O122" s="86">
        <v>244.7</v>
      </c>
      <c r="P122" s="9">
        <f>AVERAGE(O121:O123)</f>
        <v>244.73333333333335</v>
      </c>
      <c r="Q122" s="9"/>
    </row>
    <row r="123" spans="10:29" x14ac:dyDescent="0.25">
      <c r="J123" s="446"/>
      <c r="K123" s="9">
        <v>208.352</v>
      </c>
      <c r="L123" s="50">
        <f t="shared" ref="L123:L129" si="20">SUM(K121:K123)/3</f>
        <v>207.66233333333332</v>
      </c>
      <c r="M123" s="446"/>
      <c r="N123" s="110">
        <v>42887</v>
      </c>
      <c r="O123" s="86">
        <v>245</v>
      </c>
      <c r="P123" s="113"/>
      <c r="Q123" s="113"/>
    </row>
    <row r="124" spans="10:29" x14ac:dyDescent="0.25">
      <c r="J124" s="446"/>
      <c r="K124" s="9">
        <v>208.29900000000001</v>
      </c>
      <c r="L124" s="50"/>
      <c r="M124" s="446"/>
      <c r="N124" s="110">
        <v>42917</v>
      </c>
      <c r="O124" s="86">
        <v>244.8</v>
      </c>
      <c r="P124" s="113"/>
      <c r="Q124" s="113"/>
      <c r="R124" s="59"/>
      <c r="S124" s="59"/>
      <c r="T124" s="57"/>
      <c r="U124" s="59"/>
      <c r="V124" s="59"/>
      <c r="W124" s="59"/>
      <c r="X124" s="59"/>
      <c r="Y124" s="59"/>
      <c r="Z124" s="59"/>
      <c r="AA124" s="57"/>
      <c r="AB124" s="59"/>
    </row>
    <row r="125" spans="10:29" x14ac:dyDescent="0.25">
      <c r="J125" s="446"/>
      <c r="K125" s="9">
        <v>207.917</v>
      </c>
      <c r="L125" s="50"/>
      <c r="M125" s="446"/>
      <c r="N125" s="110">
        <v>42948</v>
      </c>
      <c r="O125" s="86">
        <v>245.5</v>
      </c>
      <c r="P125" s="9">
        <f>AVERAGE(O124:O126)</f>
        <v>245.70000000000002</v>
      </c>
      <c r="Q125" s="9"/>
    </row>
    <row r="126" spans="10:29" x14ac:dyDescent="0.25">
      <c r="J126" s="446"/>
      <c r="K126" s="9">
        <v>208.49</v>
      </c>
      <c r="L126" s="50">
        <f t="shared" si="20"/>
        <v>208.23533333333333</v>
      </c>
      <c r="M126" s="446"/>
      <c r="N126" s="110">
        <v>42979</v>
      </c>
      <c r="O126" s="86">
        <v>246.8</v>
      </c>
    </row>
    <row r="127" spans="10:29" x14ac:dyDescent="0.25">
      <c r="J127" s="446"/>
      <c r="K127" s="9">
        <v>208.93600000000001</v>
      </c>
      <c r="L127" s="50"/>
      <c r="M127" s="446"/>
      <c r="N127" s="110">
        <v>43009</v>
      </c>
      <c r="O127" s="86">
        <v>246.7</v>
      </c>
    </row>
    <row r="128" spans="10:29" x14ac:dyDescent="0.25">
      <c r="J128" s="446"/>
      <c r="K128" s="9">
        <v>210.17699999999999</v>
      </c>
      <c r="L128" s="50"/>
      <c r="M128" s="446"/>
      <c r="N128" s="110">
        <v>43040</v>
      </c>
      <c r="O128" s="86">
        <v>246.7</v>
      </c>
      <c r="P128" s="9">
        <f>AVERAGE(O127:O129)</f>
        <v>246.63333333333333</v>
      </c>
    </row>
    <row r="129" spans="10:25" ht="15.75" thickBot="1" x14ac:dyDescent="0.3">
      <c r="J129" s="447"/>
      <c r="K129" s="60">
        <v>210.036</v>
      </c>
      <c r="L129" s="50">
        <f t="shared" si="20"/>
        <v>209.71633333333332</v>
      </c>
      <c r="M129" s="447"/>
      <c r="N129" s="110">
        <v>43070</v>
      </c>
      <c r="O129" s="86">
        <v>246.5</v>
      </c>
    </row>
    <row r="130" spans="10:25" x14ac:dyDescent="0.25">
      <c r="N130" s="110">
        <v>43101</v>
      </c>
      <c r="O130" s="86">
        <v>247.9</v>
      </c>
      <c r="P130" s="135"/>
    </row>
    <row r="131" spans="10:25" x14ac:dyDescent="0.25">
      <c r="N131" s="110">
        <v>43132</v>
      </c>
      <c r="O131" s="86">
        <v>249</v>
      </c>
      <c r="P131" s="9">
        <f>AVERAGE(O130:O132)</f>
        <v>248.83333333333334</v>
      </c>
    </row>
    <row r="132" spans="10:25" x14ac:dyDescent="0.25">
      <c r="M132" s="122" t="s">
        <v>167</v>
      </c>
      <c r="N132" s="110">
        <v>43160</v>
      </c>
      <c r="O132" s="86">
        <v>249.6</v>
      </c>
      <c r="P132" s="135"/>
    </row>
    <row r="133" spans="10:25" x14ac:dyDescent="0.25">
      <c r="N133" s="110">
        <v>43191</v>
      </c>
      <c r="O133" s="86">
        <v>250.5</v>
      </c>
      <c r="P133" s="135"/>
    </row>
    <row r="134" spans="10:25" x14ac:dyDescent="0.25">
      <c r="M134" s="59"/>
      <c r="N134" s="110">
        <v>43221</v>
      </c>
      <c r="O134" s="86">
        <v>251.6</v>
      </c>
      <c r="P134" s="9">
        <f>AVERAGE(O133:O135)</f>
        <v>251.36666666666667</v>
      </c>
      <c r="Q134" s="59"/>
      <c r="R134" s="59"/>
      <c r="S134" s="59"/>
      <c r="T134" s="59"/>
      <c r="U134" s="59"/>
      <c r="V134" s="59"/>
      <c r="W134" s="59"/>
      <c r="X134" s="59"/>
      <c r="Y134" s="59"/>
    </row>
    <row r="135" spans="10:25" x14ac:dyDescent="0.25">
      <c r="N135" s="110">
        <v>43252</v>
      </c>
      <c r="O135" s="86">
        <v>252</v>
      </c>
      <c r="P135" s="113"/>
    </row>
    <row r="136" spans="10:25" x14ac:dyDescent="0.25">
      <c r="N136" s="110">
        <v>43282</v>
      </c>
      <c r="O136" s="86">
        <v>252</v>
      </c>
      <c r="P136" s="113"/>
    </row>
    <row r="137" spans="10:25" x14ac:dyDescent="0.25">
      <c r="N137" s="110">
        <v>43313</v>
      </c>
      <c r="O137" s="86">
        <v>252.1</v>
      </c>
      <c r="P137" s="9">
        <f>AVERAGE(O136:O138)</f>
        <v>252.16666666666666</v>
      </c>
    </row>
    <row r="138" spans="10:25" x14ac:dyDescent="0.25">
      <c r="N138" s="110">
        <v>43344</v>
      </c>
      <c r="O138" s="86">
        <v>252.4</v>
      </c>
      <c r="P138" s="126"/>
    </row>
    <row r="139" spans="10:25" x14ac:dyDescent="0.25">
      <c r="N139" s="110">
        <v>43374</v>
      </c>
      <c r="O139" s="86">
        <v>252.9</v>
      </c>
      <c r="P139" s="126"/>
    </row>
    <row r="140" spans="10:25" x14ac:dyDescent="0.25">
      <c r="N140" s="110">
        <v>43405</v>
      </c>
      <c r="O140" s="86">
        <v>252</v>
      </c>
      <c r="P140" s="9">
        <f>AVERAGE(O139:O141)</f>
        <v>252.0333333333333</v>
      </c>
    </row>
    <row r="141" spans="10:25" x14ac:dyDescent="0.25">
      <c r="N141" s="110">
        <v>43435</v>
      </c>
      <c r="O141" s="86">
        <v>251.2</v>
      </c>
      <c r="P141" s="126"/>
    </row>
    <row r="148" spans="13:27" x14ac:dyDescent="0.25"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7"/>
      <c r="Y148" s="59"/>
    </row>
    <row r="155" spans="13:27" x14ac:dyDescent="0.25"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</row>
    <row r="164" spans="14:27" x14ac:dyDescent="0.25">
      <c r="N164" s="126"/>
      <c r="O164" s="126"/>
    </row>
    <row r="165" spans="14:27" ht="15.75" customHeight="1" x14ac:dyDescent="0.25">
      <c r="N165" s="126"/>
      <c r="O165" s="126"/>
    </row>
    <row r="166" spans="14:27" ht="15" customHeight="1" x14ac:dyDescent="0.25">
      <c r="N166" s="126"/>
      <c r="O166" s="126"/>
    </row>
    <row r="167" spans="14:27" x14ac:dyDescent="0.25">
      <c r="N167" s="126"/>
      <c r="O167" s="126"/>
    </row>
    <row r="168" spans="14:27" x14ac:dyDescent="0.25">
      <c r="N168" s="126"/>
      <c r="O168" s="126"/>
      <c r="P168" s="50"/>
      <c r="Q168" s="50"/>
    </row>
    <row r="169" spans="14:27" x14ac:dyDescent="0.25">
      <c r="N169" s="126"/>
      <c r="O169" s="126"/>
    </row>
    <row r="170" spans="14:27" x14ac:dyDescent="0.25">
      <c r="N170" s="126"/>
      <c r="O170" s="126"/>
    </row>
    <row r="171" spans="14:27" x14ac:dyDescent="0.25">
      <c r="N171" s="126"/>
      <c r="O171" s="126"/>
      <c r="P171" s="50"/>
      <c r="Q171" s="50"/>
    </row>
    <row r="172" spans="14:27" x14ac:dyDescent="0.25">
      <c r="N172" s="126"/>
      <c r="O172" s="126"/>
      <c r="P172" s="50"/>
      <c r="Q172" s="50"/>
      <c r="R172" s="78"/>
      <c r="S172" s="78"/>
      <c r="T172" s="78"/>
    </row>
    <row r="173" spans="14:27" x14ac:dyDescent="0.25">
      <c r="N173" s="126"/>
      <c r="O173" s="126"/>
      <c r="P173" s="50"/>
      <c r="Q173" s="50"/>
    </row>
    <row r="174" spans="14:27" x14ac:dyDescent="0.25">
      <c r="N174" s="126"/>
      <c r="O174" s="126"/>
      <c r="P174" s="50"/>
      <c r="Q174" s="50"/>
    </row>
    <row r="175" spans="14:27" x14ac:dyDescent="0.25">
      <c r="N175" s="126"/>
      <c r="O175" s="126"/>
      <c r="P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</row>
    <row r="176" spans="14:27" x14ac:dyDescent="0.25">
      <c r="N176" s="126"/>
      <c r="O176" s="126"/>
      <c r="P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</row>
    <row r="177" spans="14:27" x14ac:dyDescent="0.25">
      <c r="N177" s="126"/>
      <c r="O177" s="126"/>
      <c r="P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</row>
    <row r="178" spans="14:27" x14ac:dyDescent="0.25">
      <c r="N178" s="126"/>
      <c r="O178" s="126"/>
      <c r="P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</row>
    <row r="179" spans="14:27" x14ac:dyDescent="0.25">
      <c r="N179" s="126"/>
      <c r="O179" s="126"/>
      <c r="P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</row>
    <row r="180" spans="14:27" x14ac:dyDescent="0.25">
      <c r="N180" s="126"/>
      <c r="O180" s="126"/>
      <c r="P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</row>
    <row r="181" spans="14:27" x14ac:dyDescent="0.25">
      <c r="N181" s="126"/>
      <c r="O181" s="126"/>
      <c r="P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</row>
    <row r="182" spans="14:27" x14ac:dyDescent="0.25">
      <c r="O182" s="126"/>
      <c r="P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</row>
    <row r="183" spans="14:27" x14ac:dyDescent="0.25">
      <c r="N183" s="126"/>
      <c r="O183" s="126"/>
      <c r="P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</row>
    <row r="184" spans="14:27" x14ac:dyDescent="0.25">
      <c r="N184" s="126"/>
      <c r="O184" s="126"/>
      <c r="P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</row>
    <row r="185" spans="14:27" x14ac:dyDescent="0.25">
      <c r="N185" s="126"/>
      <c r="O185" s="126"/>
      <c r="P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</row>
    <row r="186" spans="14:27" x14ac:dyDescent="0.25">
      <c r="N186" s="126"/>
      <c r="O186" s="126"/>
      <c r="P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</row>
    <row r="187" spans="14:27" x14ac:dyDescent="0.25">
      <c r="N187" s="126"/>
      <c r="O187" s="126"/>
      <c r="P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</row>
    <row r="188" spans="14:27" x14ac:dyDescent="0.25">
      <c r="N188" s="126"/>
      <c r="O188" s="126"/>
      <c r="P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</row>
    <row r="189" spans="14:27" x14ac:dyDescent="0.25">
      <c r="N189" s="126"/>
      <c r="O189" s="126"/>
      <c r="P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</row>
    <row r="190" spans="14:27" ht="15" customHeight="1" x14ac:dyDescent="0.25">
      <c r="N190" s="126"/>
      <c r="O190" s="126"/>
      <c r="P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</row>
    <row r="191" spans="14:27" x14ac:dyDescent="0.25">
      <c r="N191" s="126"/>
      <c r="O191" s="126"/>
      <c r="P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</row>
    <row r="192" spans="14:27" x14ac:dyDescent="0.25">
      <c r="N192" s="126"/>
      <c r="O192" s="126"/>
      <c r="P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</row>
    <row r="193" spans="5:27" x14ac:dyDescent="0.25">
      <c r="N193" s="126"/>
      <c r="O193" s="126"/>
      <c r="P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</row>
    <row r="194" spans="5:27" x14ac:dyDescent="0.25">
      <c r="N194" s="126"/>
      <c r="O194" s="126"/>
      <c r="P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</row>
    <row r="195" spans="5:27" x14ac:dyDescent="0.25">
      <c r="N195" s="126"/>
      <c r="O195" s="126"/>
      <c r="P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</row>
    <row r="196" spans="5:27" x14ac:dyDescent="0.25">
      <c r="N196" s="126"/>
      <c r="O196" s="126"/>
      <c r="P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</row>
    <row r="197" spans="5:27" x14ac:dyDescent="0.25">
      <c r="N197" s="126"/>
      <c r="O197" s="126"/>
      <c r="P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</row>
    <row r="198" spans="5:27" x14ac:dyDescent="0.25">
      <c r="N198" s="126"/>
      <c r="O198" s="126"/>
      <c r="P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</row>
    <row r="199" spans="5:27" x14ac:dyDescent="0.25">
      <c r="N199" s="126"/>
      <c r="O199" s="126"/>
      <c r="P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</row>
    <row r="200" spans="5:27" x14ac:dyDescent="0.25">
      <c r="N200" s="126"/>
      <c r="O200" s="126"/>
      <c r="P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</row>
    <row r="201" spans="5:27" x14ac:dyDescent="0.25">
      <c r="N201" s="126"/>
      <c r="O201" s="126"/>
      <c r="P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</row>
    <row r="202" spans="5:27" x14ac:dyDescent="0.25">
      <c r="N202" s="126"/>
      <c r="O202" s="126"/>
      <c r="P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</row>
    <row r="203" spans="5:27" x14ac:dyDescent="0.25">
      <c r="N203" s="126"/>
      <c r="O203" s="126"/>
      <c r="P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</row>
    <row r="204" spans="5:27" x14ac:dyDescent="0.25">
      <c r="N204" s="126"/>
      <c r="O204" s="126"/>
      <c r="P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</row>
    <row r="205" spans="5:27" x14ac:dyDescent="0.25">
      <c r="E205" s="126"/>
      <c r="F205" s="126"/>
      <c r="G205" s="126"/>
      <c r="H205" s="126"/>
      <c r="N205" s="126"/>
      <c r="O205" s="126"/>
      <c r="P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</row>
    <row r="206" spans="5:27" x14ac:dyDescent="0.25">
      <c r="E206" s="126"/>
      <c r="F206" s="126"/>
      <c r="G206" s="126"/>
      <c r="H206" s="126"/>
      <c r="N206" s="126"/>
      <c r="O206" s="126"/>
      <c r="P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</row>
    <row r="207" spans="5:27" x14ac:dyDescent="0.25">
      <c r="E207" s="126"/>
      <c r="F207" s="126"/>
      <c r="G207" s="126"/>
      <c r="H207" s="126"/>
      <c r="N207" s="126"/>
      <c r="O207" s="126"/>
      <c r="P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</row>
    <row r="208" spans="5:27" x14ac:dyDescent="0.25">
      <c r="E208" s="126"/>
      <c r="F208" s="126"/>
      <c r="G208" s="126"/>
      <c r="H208" s="126"/>
      <c r="N208" s="126"/>
      <c r="O208" s="126"/>
      <c r="P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</row>
    <row r="209" spans="5:27" x14ac:dyDescent="0.25">
      <c r="E209" s="126"/>
      <c r="F209" s="126"/>
      <c r="G209" s="126"/>
      <c r="H209" s="126"/>
      <c r="N209" s="126"/>
      <c r="O209" s="126"/>
      <c r="P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</row>
    <row r="210" spans="5:27" x14ac:dyDescent="0.25">
      <c r="E210" s="126"/>
      <c r="F210" s="126"/>
      <c r="G210" s="126"/>
      <c r="H210" s="126"/>
    </row>
    <row r="211" spans="5:27" x14ac:dyDescent="0.25">
      <c r="E211" s="126"/>
      <c r="F211" s="126"/>
      <c r="G211" s="126"/>
      <c r="H211" s="126"/>
      <c r="M211" s="113"/>
      <c r="N211" s="113"/>
    </row>
    <row r="212" spans="5:27" x14ac:dyDescent="0.25">
      <c r="E212" s="126"/>
      <c r="F212" s="126"/>
      <c r="G212" s="126"/>
      <c r="H212" s="126"/>
      <c r="M212" s="113"/>
      <c r="N212" s="113"/>
      <c r="O212" s="126"/>
      <c r="P212" s="126"/>
      <c r="R212" s="126"/>
    </row>
    <row r="213" spans="5:27" x14ac:dyDescent="0.25">
      <c r="E213" s="126"/>
      <c r="F213" s="126"/>
      <c r="G213" s="126"/>
      <c r="H213" s="126"/>
      <c r="M213" s="135"/>
      <c r="N213" s="113"/>
      <c r="O213" s="126"/>
      <c r="P213" s="126"/>
      <c r="R213" s="126"/>
    </row>
    <row r="214" spans="5:27" x14ac:dyDescent="0.25">
      <c r="E214" s="126"/>
      <c r="F214" s="126"/>
      <c r="G214" s="126"/>
      <c r="H214" s="126"/>
      <c r="M214" s="135"/>
      <c r="N214" s="113"/>
      <c r="O214" s="126"/>
      <c r="P214" s="126"/>
      <c r="R214" s="126"/>
    </row>
    <row r="215" spans="5:27" x14ac:dyDescent="0.25">
      <c r="E215" s="126"/>
      <c r="F215" s="126"/>
      <c r="G215" s="126"/>
      <c r="H215" s="126"/>
      <c r="M215" s="135"/>
      <c r="N215" s="113"/>
      <c r="O215" s="126"/>
      <c r="P215" s="126"/>
      <c r="R215" s="126"/>
    </row>
    <row r="216" spans="5:27" x14ac:dyDescent="0.25">
      <c r="E216" s="126"/>
      <c r="F216" s="126"/>
      <c r="G216" s="126"/>
      <c r="H216" s="126"/>
      <c r="M216" s="135"/>
      <c r="N216" s="113"/>
      <c r="O216" s="126"/>
      <c r="P216" s="126"/>
      <c r="R216" s="126"/>
    </row>
    <row r="217" spans="5:27" x14ac:dyDescent="0.25">
      <c r="E217" s="126"/>
      <c r="F217" s="126"/>
      <c r="G217" s="126"/>
      <c r="H217" s="126"/>
      <c r="M217" s="135"/>
      <c r="N217" s="113"/>
      <c r="O217" s="126"/>
      <c r="P217" s="126"/>
      <c r="R217" s="126"/>
    </row>
    <row r="218" spans="5:27" x14ac:dyDescent="0.25">
      <c r="E218" s="126"/>
      <c r="F218" s="126"/>
      <c r="G218" s="126"/>
      <c r="H218" s="126"/>
      <c r="M218" s="113"/>
      <c r="N218" s="113"/>
      <c r="O218" s="126"/>
      <c r="P218" s="126"/>
      <c r="R218" s="126"/>
    </row>
    <row r="219" spans="5:27" x14ac:dyDescent="0.25">
      <c r="E219" s="126"/>
      <c r="F219" s="126"/>
      <c r="G219" s="126"/>
      <c r="H219" s="126"/>
      <c r="M219" s="113"/>
      <c r="N219" s="113"/>
      <c r="O219" s="126"/>
      <c r="P219" s="126"/>
      <c r="R219" s="126"/>
    </row>
    <row r="220" spans="5:27" x14ac:dyDescent="0.25">
      <c r="E220" s="126"/>
      <c r="F220" s="126"/>
      <c r="G220" s="126"/>
      <c r="H220" s="126"/>
      <c r="M220" s="113"/>
      <c r="N220" s="113"/>
      <c r="O220" s="126"/>
      <c r="P220" s="126"/>
      <c r="R220" s="126"/>
    </row>
    <row r="221" spans="5:27" x14ac:dyDescent="0.25">
      <c r="E221" s="126"/>
      <c r="F221" s="126"/>
      <c r="G221" s="126"/>
      <c r="H221" s="126"/>
      <c r="M221" s="113"/>
      <c r="N221" s="113"/>
      <c r="O221" s="126"/>
      <c r="P221" s="126"/>
      <c r="R221" s="126"/>
    </row>
    <row r="222" spans="5:27" x14ac:dyDescent="0.25">
      <c r="E222" s="126"/>
      <c r="F222" s="126"/>
      <c r="G222" s="126"/>
      <c r="H222" s="126"/>
      <c r="O222" s="126"/>
      <c r="P222" s="126"/>
      <c r="R222" s="126"/>
    </row>
    <row r="223" spans="5:27" x14ac:dyDescent="0.25">
      <c r="E223" s="126"/>
      <c r="F223" s="126"/>
      <c r="G223" s="126"/>
      <c r="H223" s="126"/>
      <c r="O223" s="126"/>
      <c r="P223" s="126"/>
      <c r="R223" s="126"/>
    </row>
    <row r="224" spans="5:27" x14ac:dyDescent="0.25">
      <c r="E224" s="126"/>
      <c r="F224" s="126"/>
      <c r="G224" s="126"/>
      <c r="H224" s="126"/>
      <c r="O224" s="126"/>
      <c r="P224" s="126"/>
      <c r="R224" s="126"/>
    </row>
    <row r="225" spans="5:8" x14ac:dyDescent="0.25">
      <c r="E225" s="126"/>
      <c r="F225" s="126"/>
      <c r="G225" s="126"/>
      <c r="H225" s="126"/>
    </row>
    <row r="226" spans="5:8" x14ac:dyDescent="0.25">
      <c r="E226" s="126"/>
      <c r="F226" s="126"/>
      <c r="G226" s="126"/>
      <c r="H226" s="126"/>
    </row>
  </sheetData>
  <mergeCells count="22">
    <mergeCell ref="R69:R80"/>
    <mergeCell ref="R81:R92"/>
    <mergeCell ref="R93:R104"/>
    <mergeCell ref="M118:M129"/>
    <mergeCell ref="N94:N105"/>
    <mergeCell ref="N106:N117"/>
    <mergeCell ref="N82:N93"/>
    <mergeCell ref="N70:N81"/>
    <mergeCell ref="N10:N21"/>
    <mergeCell ref="N22:N33"/>
    <mergeCell ref="N34:N45"/>
    <mergeCell ref="J46:J57"/>
    <mergeCell ref="J58:J69"/>
    <mergeCell ref="N46:N57"/>
    <mergeCell ref="N58:N69"/>
    <mergeCell ref="J106:J117"/>
    <mergeCell ref="J118:J129"/>
    <mergeCell ref="J94:J105"/>
    <mergeCell ref="J22:J33"/>
    <mergeCell ref="J34:J45"/>
    <mergeCell ref="J70:J81"/>
    <mergeCell ref="J82:J93"/>
  </mergeCells>
  <hyperlinks>
    <hyperlink ref="T67" r:id="rId1"/>
    <hyperlink ref="M132" r:id="rId2"/>
  </hyperlinks>
  <pageMargins left="0.7" right="0.7" top="0.75" bottom="0.75" header="0.3" footer="0.3"/>
  <pageSetup orientation="portrait" horizontalDpi="90" verticalDpi="90"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97"/>
  <sheetViews>
    <sheetView topLeftCell="A4" zoomScaleNormal="100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B7" sqref="B7:B9"/>
    </sheetView>
  </sheetViews>
  <sheetFormatPr baseColWidth="10" defaultColWidth="11.42578125" defaultRowHeight="15" x14ac:dyDescent="0.25"/>
  <cols>
    <col min="1" max="1" width="8.5703125" bestFit="1" customWidth="1"/>
    <col min="2" max="2" width="10" style="27" customWidth="1"/>
    <col min="3" max="3" width="13.5703125" style="213" customWidth="1"/>
    <col min="4" max="4" width="12.7109375" style="207" customWidth="1"/>
    <col min="5" max="5" width="14.28515625" style="27" customWidth="1"/>
    <col min="6" max="6" width="9.5703125" customWidth="1"/>
    <col min="7" max="7" width="14" style="207" customWidth="1"/>
    <col min="8" max="8" width="9.85546875" style="207" customWidth="1"/>
    <col min="9" max="9" width="6.85546875" style="207" customWidth="1"/>
    <col min="10" max="10" width="11.7109375" style="27" customWidth="1"/>
    <col min="11" max="11" width="12" customWidth="1"/>
    <col min="12" max="12" width="12.5703125" style="27" customWidth="1"/>
    <col min="13" max="13" width="20.140625" style="14" hidden="1" customWidth="1"/>
    <col min="14" max="14" width="11.42578125" style="199"/>
    <col min="15" max="15" width="9.42578125" style="184" hidden="1" customWidth="1"/>
    <col min="16" max="16" width="9.42578125" style="185" hidden="1" customWidth="1"/>
    <col min="17" max="17" width="11.42578125" style="199"/>
    <col min="18" max="19" width="13" style="170" customWidth="1"/>
    <col min="22" max="22" width="3" customWidth="1"/>
  </cols>
  <sheetData>
    <row r="2" spans="1:23" x14ac:dyDescent="0.25">
      <c r="N2" s="198"/>
    </row>
    <row r="3" spans="1:23" ht="15.75" thickBot="1" x14ac:dyDescent="0.3"/>
    <row r="4" spans="1:23" ht="76.5" customHeight="1" x14ac:dyDescent="0.25">
      <c r="B4" s="120" t="s">
        <v>97</v>
      </c>
      <c r="C4" s="214" t="s">
        <v>98</v>
      </c>
      <c r="D4" s="208" t="s">
        <v>99</v>
      </c>
      <c r="E4" s="76" t="s">
        <v>134</v>
      </c>
      <c r="F4" s="330" t="s">
        <v>100</v>
      </c>
      <c r="G4" s="208" t="s">
        <v>101</v>
      </c>
      <c r="H4" s="208" t="s">
        <v>209</v>
      </c>
      <c r="I4" s="208"/>
      <c r="J4" s="76" t="s">
        <v>135</v>
      </c>
      <c r="K4" s="52" t="s">
        <v>102</v>
      </c>
      <c r="L4" s="138" t="s">
        <v>192</v>
      </c>
      <c r="M4" s="275" t="s">
        <v>195</v>
      </c>
      <c r="N4" s="200" t="s">
        <v>196</v>
      </c>
      <c r="O4" s="285" t="s">
        <v>117</v>
      </c>
      <c r="P4" s="52" t="s">
        <v>118</v>
      </c>
      <c r="Q4" s="205" t="s">
        <v>103</v>
      </c>
      <c r="R4" s="119" t="s">
        <v>122</v>
      </c>
      <c r="S4" s="357" t="s">
        <v>244</v>
      </c>
      <c r="T4" s="168" t="s">
        <v>193</v>
      </c>
      <c r="U4" s="169" t="s">
        <v>197</v>
      </c>
    </row>
    <row r="5" spans="1:23" ht="14.25" customHeight="1" x14ac:dyDescent="0.25">
      <c r="B5" s="75" t="s">
        <v>104</v>
      </c>
      <c r="C5" s="215" t="s">
        <v>104</v>
      </c>
      <c r="D5" s="209" t="s">
        <v>104</v>
      </c>
      <c r="E5" s="77" t="s">
        <v>104</v>
      </c>
      <c r="F5" s="62" t="s">
        <v>105</v>
      </c>
      <c r="G5" s="209" t="s">
        <v>104</v>
      </c>
      <c r="H5" s="209" t="s">
        <v>104</v>
      </c>
      <c r="I5" s="317"/>
      <c r="J5" s="77" t="s">
        <v>104</v>
      </c>
      <c r="K5" s="62" t="s">
        <v>105</v>
      </c>
      <c r="L5" s="139" t="s">
        <v>104</v>
      </c>
      <c r="M5" s="276" t="s">
        <v>104</v>
      </c>
      <c r="N5" s="201" t="s">
        <v>105</v>
      </c>
      <c r="O5" s="286" t="s">
        <v>105</v>
      </c>
      <c r="P5" s="62" t="s">
        <v>105</v>
      </c>
      <c r="Q5" s="206" t="s">
        <v>105</v>
      </c>
      <c r="R5" s="83" t="s">
        <v>105</v>
      </c>
      <c r="S5" s="358"/>
    </row>
    <row r="6" spans="1:23" s="126" customFormat="1" x14ac:dyDescent="0.25">
      <c r="A6" s="49" t="s">
        <v>203</v>
      </c>
      <c r="B6" s="64">
        <f>'Ingreso estructural no oil'!N4</f>
        <v>24948.453386284375</v>
      </c>
      <c r="C6" s="216">
        <f>'Balance Estructural'!R3</f>
        <v>-2.6325100658891067E-2</v>
      </c>
      <c r="D6" s="210"/>
      <c r="E6" s="64">
        <v>267.60000000000002</v>
      </c>
      <c r="F6" s="166"/>
      <c r="G6" s="210"/>
      <c r="H6" s="210"/>
      <c r="I6" s="210"/>
      <c r="J6" s="64">
        <v>732.8</v>
      </c>
      <c r="K6" s="166"/>
      <c r="L6" s="195">
        <f>'Datos IB'!C6</f>
        <v>16124.164646528556</v>
      </c>
      <c r="M6" s="146">
        <v>15749.8194611005</v>
      </c>
      <c r="N6" s="202"/>
      <c r="O6" s="287"/>
      <c r="P6" s="186"/>
      <c r="Q6" s="202"/>
      <c r="R6" s="140"/>
      <c r="S6" s="359"/>
    </row>
    <row r="7" spans="1:23" s="126" customFormat="1" x14ac:dyDescent="0.25">
      <c r="A7" s="49" t="s">
        <v>204</v>
      </c>
      <c r="B7" s="64">
        <f>'Ingreso estructural no oil'!N5</f>
        <v>23082.862730895024</v>
      </c>
      <c r="C7" s="216">
        <f>'Balance Estructural'!R4</f>
        <v>-2.0650428584562581E-2</v>
      </c>
      <c r="D7" s="210"/>
      <c r="E7" s="64">
        <v>332.40000000000003</v>
      </c>
      <c r="F7" s="166"/>
      <c r="G7" s="210"/>
      <c r="H7" s="210"/>
      <c r="I7" s="210"/>
      <c r="J7" s="64">
        <v>726.60000000000014</v>
      </c>
      <c r="K7" s="166"/>
      <c r="L7" s="195">
        <f>'Datos IB'!C7</f>
        <v>15931.191592411957</v>
      </c>
      <c r="M7" s="146">
        <v>15748.0840643628</v>
      </c>
      <c r="N7" s="202"/>
      <c r="O7" s="287"/>
      <c r="P7" s="186"/>
      <c r="Q7" s="202"/>
      <c r="R7" s="140"/>
      <c r="S7" s="359"/>
    </row>
    <row r="8" spans="1:23" s="126" customFormat="1" x14ac:dyDescent="0.25">
      <c r="A8" s="49" t="s">
        <v>205</v>
      </c>
      <c r="B8" s="64">
        <f>'Ingreso estructural no oil'!N6</f>
        <v>21149.597436532182</v>
      </c>
      <c r="C8" s="216">
        <f>'Balance Estructural'!R5</f>
        <v>-1.6826022154530579E-2</v>
      </c>
      <c r="D8" s="210"/>
      <c r="E8" s="64">
        <v>368.9</v>
      </c>
      <c r="F8" s="166">
        <f>((1+F10)/(1+'Datos IB'!F10)-1)</f>
        <v>-0.4038052979652258</v>
      </c>
      <c r="G8" s="210"/>
      <c r="H8" s="210"/>
      <c r="I8" s="210"/>
      <c r="J8" s="64">
        <v>763.5</v>
      </c>
      <c r="K8" s="166">
        <f>((K10+1)/(1+'Datos IB'!G10)) -1</f>
        <v>4.0654805496781465E-2</v>
      </c>
      <c r="L8" s="195">
        <f>'Datos IB'!C8</f>
        <v>15737.879048582472</v>
      </c>
      <c r="M8" s="146">
        <v>15750.0924730141</v>
      </c>
      <c r="N8" s="202"/>
      <c r="O8" s="287"/>
      <c r="P8" s="186"/>
      <c r="Q8" s="202"/>
      <c r="R8" s="140"/>
      <c r="S8" s="359"/>
    </row>
    <row r="9" spans="1:23" s="126" customFormat="1" ht="15.75" thickBot="1" x14ac:dyDescent="0.3">
      <c r="A9" s="49" t="s">
        <v>206</v>
      </c>
      <c r="B9" s="64">
        <f>'Ingreso estructural no oil'!N7</f>
        <v>19170.316534907597</v>
      </c>
      <c r="C9" s="216">
        <f>'Balance Estructural'!R6</f>
        <v>-1.7471628820422976E-2</v>
      </c>
      <c r="D9" s="210"/>
      <c r="E9" s="64">
        <v>360.2</v>
      </c>
      <c r="F9" s="54">
        <f>F8*D10/H10</f>
        <v>-9.3560017784804467E-2</v>
      </c>
      <c r="G9" s="210"/>
      <c r="H9" s="210"/>
      <c r="I9" s="210"/>
      <c r="J9" s="64">
        <v>798.40000000000009</v>
      </c>
      <c r="K9" s="166">
        <f>K8*G10/H10</f>
        <v>3.1235255172693842E-2</v>
      </c>
      <c r="L9" s="195">
        <f>'Datos IB'!C9</f>
        <v>15540.529898882856</v>
      </c>
      <c r="M9" s="146">
        <v>15761.419651799801</v>
      </c>
      <c r="N9" s="202"/>
      <c r="O9" s="287"/>
      <c r="P9" s="186"/>
      <c r="Q9" s="202"/>
      <c r="R9" s="140"/>
      <c r="S9" s="359"/>
    </row>
    <row r="10" spans="1:23" s="126" customFormat="1" x14ac:dyDescent="0.25">
      <c r="A10" s="278" t="s">
        <v>0</v>
      </c>
      <c r="B10" s="64">
        <f>'Ingreso estructural no oil'!N8</f>
        <v>18460.179058144</v>
      </c>
      <c r="C10" s="216">
        <f>'Balance Estructural'!R7</f>
        <v>-1.4225106683328048E-2</v>
      </c>
      <c r="D10" s="210">
        <f>'Datos CBE'!F5</f>
        <v>3295.3</v>
      </c>
      <c r="E10" s="64">
        <v>305.09999999999997</v>
      </c>
      <c r="F10" s="166">
        <f t="shared" ref="F10:F15" si="0">E10/D10</f>
        <v>9.258641094892725E-2</v>
      </c>
      <c r="G10" s="210">
        <f>'Datos CBE'!E5</f>
        <v>10927.224</v>
      </c>
      <c r="H10" s="210">
        <f>G10+D10</f>
        <v>14222.524000000001</v>
      </c>
      <c r="I10" s="318">
        <f>H10/B10</f>
        <v>0.77044344776956586</v>
      </c>
      <c r="J10" s="64">
        <v>812.69999999999993</v>
      </c>
      <c r="K10" s="166">
        <f t="shared" ref="K10:K41" si="1">J10/G10</f>
        <v>7.4373875743738743E-2</v>
      </c>
      <c r="L10" s="195">
        <f>'Datos IB'!C10</f>
        <v>15585.406426118057</v>
      </c>
      <c r="M10" s="274">
        <v>15787.518640735099</v>
      </c>
      <c r="N10" s="203">
        <f>M10/M6-1</f>
        <v>2.3936261445860474E-3</v>
      </c>
      <c r="O10" s="287">
        <f>'Datos IB'!G10</f>
        <v>3.2401782098013365E-2</v>
      </c>
      <c r="P10" s="187">
        <f>'Datos IB'!F10</f>
        <v>0.83260000000000001</v>
      </c>
      <c r="Q10" s="203">
        <f>(((1+K10)/(1+O10))-1)*(G10/SUM(D10+G10))+(((1+F10)/(1+P10))-1)*(D10/SUM(D10+G10))</f>
        <v>-6.2324762612110639E-2</v>
      </c>
      <c r="R10" s="171">
        <f t="shared" ref="R10:R15" si="2">(((Q10-N10)/(1+N10))*((SUM(D10,G10))/B10))-C10</f>
        <v>-3.5517686234838801E-2</v>
      </c>
      <c r="S10" s="360">
        <v>-3.1756458491521027E-2</v>
      </c>
    </row>
    <row r="11" spans="1:23" s="126" customFormat="1" ht="13.5" customHeight="1" x14ac:dyDescent="0.25">
      <c r="A11" s="277" t="s">
        <v>6</v>
      </c>
      <c r="B11" s="64">
        <f>'Ingreso estructural no oil'!N9</f>
        <v>18135.492109517352</v>
      </c>
      <c r="C11" s="216">
        <f>'Balance Estructural'!R8</f>
        <v>-1.138646575273152E-2</v>
      </c>
      <c r="D11" s="210">
        <f>'Datos CBE'!F6</f>
        <v>3219.9</v>
      </c>
      <c r="E11" s="64">
        <v>261.70000000000005</v>
      </c>
      <c r="F11" s="166">
        <f t="shared" si="0"/>
        <v>8.1275816019131045E-2</v>
      </c>
      <c r="G11" s="210">
        <f>'Datos CBE'!E6</f>
        <v>11075.455</v>
      </c>
      <c r="H11" s="210">
        <f>G11+D11</f>
        <v>14295.355</v>
      </c>
      <c r="I11" s="318">
        <f>H11/B11</f>
        <v>0.7882529414516366</v>
      </c>
      <c r="J11" s="64">
        <v>821.4</v>
      </c>
      <c r="K11" s="166">
        <f t="shared" si="1"/>
        <v>7.4163995971271601E-2</v>
      </c>
      <c r="L11" s="195">
        <f>'Datos IB'!C11</f>
        <v>15628.300588067188</v>
      </c>
      <c r="M11" s="274">
        <v>15831.6332833172</v>
      </c>
      <c r="N11" s="203">
        <f t="shared" ref="N11:N41" si="3">M11/M7-1</f>
        <v>5.3053576938586477E-3</v>
      </c>
      <c r="O11" s="287">
        <f>'Datos IB'!G11</f>
        <v>3.3293221018853014E-2</v>
      </c>
      <c r="P11" s="187">
        <f>'Datos IB'!F11</f>
        <v>0.96479999999999999</v>
      </c>
      <c r="Q11" s="203">
        <f t="shared" ref="Q11:Q41" si="4">(((1+K11)/(1+O11))-1)*(G11/SUM(D11+G11))+(((1+F11)/(1+P11))-1)*(D11/SUM(D11+G11))</f>
        <v>-7.0640820664943815E-2</v>
      </c>
      <c r="R11" s="171">
        <f t="shared" si="2"/>
        <v>-4.8162404672732827E-2</v>
      </c>
      <c r="S11" s="360">
        <v>-4.4408218550185986E-2</v>
      </c>
    </row>
    <row r="12" spans="1:23" s="126" customFormat="1" ht="14.25" customHeight="1" x14ac:dyDescent="0.25">
      <c r="A12" s="277" t="s">
        <v>1</v>
      </c>
      <c r="B12" s="64">
        <f>'Ingreso estructural no oil'!N10</f>
        <v>18143.500359784499</v>
      </c>
      <c r="C12" s="216">
        <f>'Balance Estructural'!R9</f>
        <v>2.2894689236147531E-3</v>
      </c>
      <c r="D12" s="210">
        <f>'Datos CBE'!F7</f>
        <v>3164.8</v>
      </c>
      <c r="E12" s="64">
        <v>220.7</v>
      </c>
      <c r="F12" s="166">
        <f t="shared" si="0"/>
        <v>6.9735844287158733E-2</v>
      </c>
      <c r="G12" s="210">
        <f>'Datos CBE'!E7</f>
        <v>8577.9439999999995</v>
      </c>
      <c r="H12" s="210">
        <f>G12+D12</f>
        <v>11742.743999999999</v>
      </c>
      <c r="I12" s="318">
        <f>H12/B12</f>
        <v>0.64721491262116493</v>
      </c>
      <c r="J12" s="64">
        <v>903.5</v>
      </c>
      <c r="K12" s="166">
        <f t="shared" si="1"/>
        <v>0.1053282698045126</v>
      </c>
      <c r="L12" s="195">
        <f>'Datos IB'!C12</f>
        <v>15787.960688623018</v>
      </c>
      <c r="M12" s="274">
        <v>15894.986236636099</v>
      </c>
      <c r="N12" s="203">
        <f t="shared" si="3"/>
        <v>9.1995500261512486E-3</v>
      </c>
      <c r="O12" s="287">
        <f>'Datos IB'!G12</f>
        <v>3.5080725533187307E-2</v>
      </c>
      <c r="P12" s="187">
        <f>'Datos IB'!F12</f>
        <v>1.0474000000000001</v>
      </c>
      <c r="Q12" s="203">
        <f t="shared" si="4"/>
        <v>-7.9119699445704197E-2</v>
      </c>
      <c r="R12" s="171">
        <f t="shared" si="2"/>
        <v>-5.8929937429781414E-2</v>
      </c>
      <c r="S12" s="360">
        <v>-5.6008446568763227E-2</v>
      </c>
    </row>
    <row r="13" spans="1:23" s="126" customFormat="1" x14ac:dyDescent="0.25">
      <c r="A13" s="319" t="s">
        <v>2</v>
      </c>
      <c r="B13" s="157">
        <f>'Ingreso estructural no oil'!N11</f>
        <v>18318.600999999999</v>
      </c>
      <c r="C13" s="320">
        <f>'Balance Estructural'!R10</f>
        <v>-4.0670350962646283E-2</v>
      </c>
      <c r="D13" s="157">
        <f>'Datos CBE'!F8</f>
        <v>2864.7</v>
      </c>
      <c r="E13" s="157">
        <v>197.9</v>
      </c>
      <c r="F13" s="321">
        <f t="shared" si="0"/>
        <v>6.9082277376339582E-2</v>
      </c>
      <c r="G13" s="157">
        <f>'Datos CBE'!E8</f>
        <v>8609.5300000000007</v>
      </c>
      <c r="H13" s="157">
        <f>G13+D13</f>
        <v>11474.23</v>
      </c>
      <c r="I13" s="322">
        <f>H13/B13</f>
        <v>0.62637043079872745</v>
      </c>
      <c r="J13" s="157">
        <v>817.2</v>
      </c>
      <c r="K13" s="321">
        <f t="shared" si="1"/>
        <v>9.4918073344305673E-2</v>
      </c>
      <c r="L13" s="323">
        <f>'Datos IB'!C13</f>
        <v>15936.361184848301</v>
      </c>
      <c r="M13" s="324">
        <v>15976.7668249484</v>
      </c>
      <c r="N13" s="325">
        <f>M13/M9-1</f>
        <v>1.3662929983848882E-2</v>
      </c>
      <c r="O13" s="325">
        <f>'Datos IB'!G13</f>
        <v>3.427099841521386E-2</v>
      </c>
      <c r="P13" s="326">
        <f>'Datos IB'!F13</f>
        <v>0.9758</v>
      </c>
      <c r="Q13" s="325">
        <f t="shared" si="4"/>
        <v>-7.0575797582519056E-2</v>
      </c>
      <c r="R13" s="327">
        <f t="shared" si="2"/>
        <v>-1.1383094531827155E-2</v>
      </c>
      <c r="S13" s="360">
        <v>-8.7732163104710936E-3</v>
      </c>
      <c r="W13" s="126">
        <v>2000</v>
      </c>
    </row>
    <row r="14" spans="1:23" x14ac:dyDescent="0.25">
      <c r="A14" s="277" t="s">
        <v>3</v>
      </c>
      <c r="B14" s="64">
        <f>'Ingreso estructural no oil'!N12</f>
        <v>20403.557000000001</v>
      </c>
      <c r="C14" s="216">
        <f>'Balance Estructural'!R11</f>
        <v>-2.834038661784103E-2</v>
      </c>
      <c r="D14" s="210">
        <f>'Datos CBE'!F9</f>
        <v>2738.2</v>
      </c>
      <c r="E14" s="64">
        <v>206.4</v>
      </c>
      <c r="F14" s="166">
        <f t="shared" si="0"/>
        <v>7.5377985537944642E-2</v>
      </c>
      <c r="G14" s="210">
        <f>'Datos CBE'!E9</f>
        <v>8734.1170000000002</v>
      </c>
      <c r="H14" s="210">
        <f t="shared" ref="H14:H77" si="5">G14+D14</f>
        <v>11472.316999999999</v>
      </c>
      <c r="I14" s="210"/>
      <c r="J14" s="64">
        <v>735</v>
      </c>
      <c r="K14" s="166">
        <f t="shared" si="1"/>
        <v>8.415275407920457E-2</v>
      </c>
      <c r="L14" s="195">
        <f>'Datos IB'!C14</f>
        <v>16109.297196526444</v>
      </c>
      <c r="M14" s="274">
        <v>16075.0945101445</v>
      </c>
      <c r="N14" s="203">
        <f t="shared" si="3"/>
        <v>1.8215393815427916E-2</v>
      </c>
      <c r="O14" s="287">
        <f>'Datos IB'!G14</f>
        <v>3.3934876422128113E-2</v>
      </c>
      <c r="P14" s="187">
        <f>'Datos IB'!F14</f>
        <v>0.67636165060069309</v>
      </c>
      <c r="Q14" s="203">
        <f t="shared" si="4"/>
        <v>-4.8590410512653288E-2</v>
      </c>
      <c r="R14" s="171">
        <f t="shared" si="2"/>
        <v>-8.5505593588984311E-3</v>
      </c>
      <c r="S14" s="360">
        <v>-6.4798511461053691E-3</v>
      </c>
    </row>
    <row r="15" spans="1:23" x14ac:dyDescent="0.25">
      <c r="A15" s="277" t="s">
        <v>4</v>
      </c>
      <c r="B15" s="64">
        <f>'Ingreso estructural no oil'!N13</f>
        <v>22070.698</v>
      </c>
      <c r="C15" s="216">
        <f>'Balance Estructural'!R12</f>
        <v>-2.8433092443237405E-2</v>
      </c>
      <c r="D15" s="210">
        <f>'Datos CBE'!F10</f>
        <v>2970.6</v>
      </c>
      <c r="E15" s="64">
        <v>165.8</v>
      </c>
      <c r="F15" s="166">
        <f t="shared" si="0"/>
        <v>5.5813640342018453E-2</v>
      </c>
      <c r="G15" s="210">
        <f>'Datos CBE'!E10</f>
        <v>8819.16</v>
      </c>
      <c r="H15" s="210">
        <f t="shared" si="5"/>
        <v>11789.76</v>
      </c>
      <c r="I15" s="210"/>
      <c r="J15" s="64">
        <v>828.9</v>
      </c>
      <c r="K15" s="166">
        <f t="shared" si="1"/>
        <v>9.3988543126556273E-2</v>
      </c>
      <c r="L15" s="195">
        <f>'Datos IB'!C15</f>
        <v>16290.440301728886</v>
      </c>
      <c r="M15" s="274">
        <v>16187.6850858653</v>
      </c>
      <c r="N15" s="204">
        <f t="shared" si="3"/>
        <v>2.248989704197446E-2</v>
      </c>
      <c r="O15" s="287">
        <f>'Datos IB'!G15</f>
        <v>3.3773291925465632E-2</v>
      </c>
      <c r="P15" s="187">
        <f>'Datos IB'!F15</f>
        <v>0.39559087898571277</v>
      </c>
      <c r="Q15" s="203">
        <f t="shared" si="4"/>
        <v>-1.777286908843307E-2</v>
      </c>
      <c r="R15" s="171">
        <f t="shared" si="2"/>
        <v>7.3985301574639485E-3</v>
      </c>
      <c r="S15" s="360">
        <v>9.0617115770521665E-3</v>
      </c>
      <c r="T15" s="54">
        <v>7.4402036430212731E-2</v>
      </c>
    </row>
    <row r="16" spans="1:23" x14ac:dyDescent="0.25">
      <c r="A16" s="277" t="s">
        <v>5</v>
      </c>
      <c r="B16" s="64">
        <f>'Ingreso estructural no oil'!N14</f>
        <v>23323.653999999999</v>
      </c>
      <c r="C16" s="216">
        <f>'Balance Estructural'!R13</f>
        <v>-2.4842210852302597E-2</v>
      </c>
      <c r="D16" s="210">
        <f>'Datos CBE'!F11</f>
        <v>2923.3</v>
      </c>
      <c r="E16" s="64">
        <v>176.6</v>
      </c>
      <c r="F16" s="166">
        <f t="shared" ref="F16:F61" si="6">E16/D16</f>
        <v>6.0411179146854579E-2</v>
      </c>
      <c r="G16" s="210">
        <f>'Datos CBE'!E11</f>
        <v>9158.3259999999991</v>
      </c>
      <c r="H16" s="210">
        <f t="shared" si="5"/>
        <v>12081.626</v>
      </c>
      <c r="I16" s="210"/>
      <c r="J16" s="64">
        <v>657.8</v>
      </c>
      <c r="K16" s="166">
        <f t="shared" si="1"/>
        <v>7.1825353235951642E-2</v>
      </c>
      <c r="L16" s="195">
        <f>'Datos IB'!C16</f>
        <v>16313.389148024247</v>
      </c>
      <c r="M16" s="274">
        <v>16312.5964006502</v>
      </c>
      <c r="N16" s="204">
        <f t="shared" si="3"/>
        <v>2.6273074905315497E-2</v>
      </c>
      <c r="O16" s="287">
        <f>'Datos IB'!G16</f>
        <v>2.6959368380512272E-2</v>
      </c>
      <c r="P16" s="187">
        <f>'Datos IB'!F16</f>
        <v>0.28925271435208288</v>
      </c>
      <c r="Q16" s="203">
        <f t="shared" si="4"/>
        <v>-9.8309035703615238E-3</v>
      </c>
      <c r="R16" s="171">
        <f t="shared" ref="R16:R47" si="7">(((1+Q16)/(1+N16)-1)*((SUM(D16,G16))/B16))-C16</f>
        <v>6.6191668439995188E-3</v>
      </c>
      <c r="S16" s="360">
        <v>7.9069455118186867E-3</v>
      </c>
      <c r="T16" s="54">
        <v>1.7144971212372417E-2</v>
      </c>
      <c r="U16" s="111">
        <v>1.0999999999999999E-2</v>
      </c>
    </row>
    <row r="17" spans="1:23" s="48" customFormat="1" x14ac:dyDescent="0.25">
      <c r="A17" s="319" t="s">
        <v>7</v>
      </c>
      <c r="B17" s="157">
        <f>'Ingreso estructural no oil'!N15</f>
        <v>24468.324000000001</v>
      </c>
      <c r="C17" s="320">
        <f>'Balance Estructural'!R14</f>
        <v>-2.0721894132503849E-2</v>
      </c>
      <c r="D17" s="157">
        <f>'Datos CBE'!F12</f>
        <v>2925.7</v>
      </c>
      <c r="E17" s="157">
        <v>209.89999999999998</v>
      </c>
      <c r="F17" s="321">
        <f t="shared" si="6"/>
        <v>7.1743514372628769E-2</v>
      </c>
      <c r="G17" s="157">
        <f>'Datos CBE'!E12</f>
        <v>9391.2990000000009</v>
      </c>
      <c r="H17" s="157">
        <f t="shared" si="5"/>
        <v>12316.999</v>
      </c>
      <c r="I17" s="157"/>
      <c r="J17" s="157">
        <v>727.60000000000014</v>
      </c>
      <c r="K17" s="321">
        <f t="shared" si="1"/>
        <v>7.7475970044186659E-2</v>
      </c>
      <c r="L17" s="323">
        <f>'Datos IB'!C17</f>
        <v>16341.145615941672</v>
      </c>
      <c r="M17" s="324">
        <v>16448.913452180001</v>
      </c>
      <c r="N17" s="325">
        <f t="shared" si="3"/>
        <v>2.9552075986633453E-2</v>
      </c>
      <c r="O17" s="325">
        <f>'Datos IB'!G17</f>
        <v>1.8578816318712832E-2</v>
      </c>
      <c r="P17" s="326">
        <f>'Datos IB'!F17</f>
        <v>0.2409935910194656</v>
      </c>
      <c r="Q17" s="325">
        <f t="shared" si="4"/>
        <v>1.1692537974085052E-2</v>
      </c>
      <c r="R17" s="327">
        <f t="shared" si="7"/>
        <v>1.1989716024183687E-2</v>
      </c>
      <c r="S17" s="360">
        <v>1.302712613107038E-2</v>
      </c>
      <c r="T17" s="328">
        <v>2.2088541538991018E-2</v>
      </c>
      <c r="U17" s="329">
        <v>-4.2000000000000003E-2</v>
      </c>
      <c r="W17" s="48">
        <v>2001</v>
      </c>
    </row>
    <row r="18" spans="1:23" x14ac:dyDescent="0.25">
      <c r="A18" s="277" t="s">
        <v>8</v>
      </c>
      <c r="B18" s="64">
        <f>'Ingreso estructural no oil'!N16</f>
        <v>25301.792999999998</v>
      </c>
      <c r="C18" s="216">
        <f>'Balance Estructural'!R15</f>
        <v>-1.3399312002920265E-2</v>
      </c>
      <c r="D18" s="210">
        <f>'Datos CBE'!F13</f>
        <v>2773.5</v>
      </c>
      <c r="E18" s="64">
        <v>212.3</v>
      </c>
      <c r="F18" s="166">
        <f t="shared" si="6"/>
        <v>7.6545880656210569E-2</v>
      </c>
      <c r="G18" s="210">
        <f>'Datos CBE'!E13</f>
        <v>9419.8549999999996</v>
      </c>
      <c r="H18" s="210">
        <f t="shared" si="5"/>
        <v>12193.355</v>
      </c>
      <c r="I18" s="210"/>
      <c r="J18" s="64">
        <v>718.2</v>
      </c>
      <c r="K18" s="166">
        <f t="shared" si="1"/>
        <v>7.6243211811646797E-2</v>
      </c>
      <c r="L18" s="195">
        <f>'Datos IB'!C18</f>
        <v>16542.886496693318</v>
      </c>
      <c r="M18" s="274">
        <v>16595.729274129098</v>
      </c>
      <c r="N18" s="203">
        <f t="shared" si="3"/>
        <v>3.2387664262629512E-2</v>
      </c>
      <c r="O18" s="287">
        <f>'Datos IB'!G18</f>
        <v>1.2521343198634405E-2</v>
      </c>
      <c r="P18" s="187">
        <f>'Datos IB'!F18</f>
        <v>0.1471000637348634</v>
      </c>
      <c r="Q18" s="203">
        <f t="shared" si="4"/>
        <v>3.4628640642003813E-2</v>
      </c>
      <c r="R18" s="171">
        <f t="shared" si="7"/>
        <v>1.4445395599597627E-2</v>
      </c>
      <c r="S18" s="360">
        <v>1.5361799456571391E-2</v>
      </c>
      <c r="T18" s="54">
        <v>2.4717281908771305E-2</v>
      </c>
      <c r="U18" s="111">
        <v>-3.4000000000000002E-2</v>
      </c>
    </row>
    <row r="19" spans="1:23" x14ac:dyDescent="0.25">
      <c r="A19" s="277" t="s">
        <v>9</v>
      </c>
      <c r="B19" s="64">
        <f>'Ingreso estructural no oil'!N17</f>
        <v>26318.799999999999</v>
      </c>
      <c r="C19" s="216">
        <f>'Balance Estructural'!R16</f>
        <v>-1.7245271762582948E-2</v>
      </c>
      <c r="D19" s="210">
        <f>'Datos CBE'!F14</f>
        <v>2870.7</v>
      </c>
      <c r="E19" s="64">
        <v>213</v>
      </c>
      <c r="F19" s="166">
        <f t="shared" si="6"/>
        <v>7.4197930818267324E-2</v>
      </c>
      <c r="G19" s="210">
        <f>'Datos CBE'!E14</f>
        <v>9533.6679999999997</v>
      </c>
      <c r="H19" s="210">
        <f t="shared" si="5"/>
        <v>12404.367999999999</v>
      </c>
      <c r="I19" s="210"/>
      <c r="J19" s="64">
        <v>640.20000000000005</v>
      </c>
      <c r="K19" s="166">
        <f t="shared" si="1"/>
        <v>6.7151488807875429E-2</v>
      </c>
      <c r="L19" s="195">
        <f>'Datos IB'!C19</f>
        <v>16747.841043052962</v>
      </c>
      <c r="M19" s="274">
        <v>16751.058765649799</v>
      </c>
      <c r="N19" s="203">
        <f t="shared" si="3"/>
        <v>3.480260931666046E-2</v>
      </c>
      <c r="O19" s="287">
        <f>'Datos IB'!G19</f>
        <v>1.2955313556139769E-2</v>
      </c>
      <c r="P19" s="187">
        <f>'Datos IB'!F19</f>
        <v>0.13198644067796605</v>
      </c>
      <c r="Q19" s="203">
        <f t="shared" si="4"/>
        <v>2.9306558168754489E-2</v>
      </c>
      <c r="R19" s="171">
        <f t="shared" si="7"/>
        <v>1.4742035688873821E-2</v>
      </c>
      <c r="S19" s="360">
        <v>1.5664236082823302E-2</v>
      </c>
      <c r="T19" s="54">
        <v>2.6713920166555109E-2</v>
      </c>
      <c r="U19" s="111">
        <v>-2.9000000000000001E-2</v>
      </c>
    </row>
    <row r="20" spans="1:23" x14ac:dyDescent="0.25">
      <c r="A20" s="277" t="s">
        <v>10</v>
      </c>
      <c r="B20" s="64">
        <f>'Ingreso estructural no oil'!N18</f>
        <v>27453.323</v>
      </c>
      <c r="C20" s="216">
        <f>'Balance Estructural'!R17</f>
        <v>-2.2281640444872391E-2</v>
      </c>
      <c r="D20" s="210">
        <f>'Datos CBE'!F15</f>
        <v>2850.9</v>
      </c>
      <c r="E20" s="64">
        <v>210.2</v>
      </c>
      <c r="F20" s="166">
        <f t="shared" si="6"/>
        <v>7.3731102458872627E-2</v>
      </c>
      <c r="G20" s="210">
        <f>'Datos CBE'!E15</f>
        <v>9506.3169999999991</v>
      </c>
      <c r="H20" s="210">
        <f t="shared" si="5"/>
        <v>12357.216999999999</v>
      </c>
      <c r="I20" s="210"/>
      <c r="J20" s="64">
        <v>624.5</v>
      </c>
      <c r="K20" s="166">
        <f t="shared" si="1"/>
        <v>6.5693159611656129E-2</v>
      </c>
      <c r="L20" s="195">
        <f>'Datos IB'!C20</f>
        <v>17021.448552929767</v>
      </c>
      <c r="M20" s="274">
        <v>16912.3885331534</v>
      </c>
      <c r="N20" s="203">
        <f t="shared" si="3"/>
        <v>3.6768649071664328E-2</v>
      </c>
      <c r="O20" s="287">
        <f>'Datos IB'!G20</f>
        <v>1.593849615600984E-2</v>
      </c>
      <c r="P20" s="187">
        <f>'Datos IB'!F20</f>
        <v>0.12351606553001204</v>
      </c>
      <c r="Q20" s="203">
        <f t="shared" si="4"/>
        <v>2.7452367078031968E-2</v>
      </c>
      <c r="R20" s="171">
        <f t="shared" si="7"/>
        <v>1.8236938507323164E-2</v>
      </c>
      <c r="S20" s="360">
        <v>1.9232761822372543E-2</v>
      </c>
      <c r="T20" s="54">
        <v>3.0657994556359015E-2</v>
      </c>
      <c r="U20" s="111">
        <v>-2.5000000000000001E-2</v>
      </c>
    </row>
    <row r="21" spans="1:23" s="48" customFormat="1" x14ac:dyDescent="0.25">
      <c r="A21" s="319" t="s">
        <v>11</v>
      </c>
      <c r="B21" s="157">
        <f>'Ingreso estructural no oil'!N19</f>
        <v>28548.945</v>
      </c>
      <c r="C21" s="320">
        <f>'Balance Estructural'!R18</f>
        <v>-2.5832833576865482E-2</v>
      </c>
      <c r="D21" s="157">
        <f>'Datos CBE'!F16</f>
        <v>2771.1</v>
      </c>
      <c r="E21" s="157">
        <v>201.5</v>
      </c>
      <c r="F21" s="321">
        <f t="shared" si="6"/>
        <v>7.2714806394572548E-2</v>
      </c>
      <c r="G21" s="157">
        <f>'Datos CBE'!E16</f>
        <v>9657.0329999999994</v>
      </c>
      <c r="H21" s="157">
        <f t="shared" si="5"/>
        <v>12428.133</v>
      </c>
      <c r="I21" s="157"/>
      <c r="J21" s="157">
        <v>621.10000000000014</v>
      </c>
      <c r="K21" s="321">
        <f t="shared" si="1"/>
        <v>6.4315820397424367E-2</v>
      </c>
      <c r="L21" s="323">
        <f>'Datos IB'!C21</f>
        <v>17235.415699529236</v>
      </c>
      <c r="M21" s="324">
        <v>17077.172595394601</v>
      </c>
      <c r="N21" s="325">
        <f t="shared" si="3"/>
        <v>3.8194567990224026E-2</v>
      </c>
      <c r="O21" s="325">
        <f>'Datos IB'!G21</f>
        <v>2.2000752162467219E-2</v>
      </c>
      <c r="P21" s="326">
        <f>'Datos IB'!F21</f>
        <v>9.9169206094627205E-2</v>
      </c>
      <c r="Q21" s="325">
        <f t="shared" si="4"/>
        <v>2.6805907914167086E-2</v>
      </c>
      <c r="R21" s="327">
        <f t="shared" si="7"/>
        <v>2.1057434110493406E-2</v>
      </c>
      <c r="S21" s="360">
        <v>2.2167772954423022E-2</v>
      </c>
      <c r="T21" s="328">
        <v>3.3618977617919252E-2</v>
      </c>
      <c r="U21" s="329">
        <v>-1.9E-2</v>
      </c>
      <c r="W21" s="48">
        <v>2002</v>
      </c>
    </row>
    <row r="22" spans="1:23" x14ac:dyDescent="0.25">
      <c r="A22" s="277" t="s">
        <v>12</v>
      </c>
      <c r="B22" s="64">
        <f>'Ingreso estructural no oil'!N20</f>
        <v>29822.823</v>
      </c>
      <c r="C22" s="216">
        <f>'Balance Estructural'!R19</f>
        <v>-2.8101796781541941E-2</v>
      </c>
      <c r="D22" s="210">
        <f>'Datos CBE'!F17</f>
        <v>2825.9</v>
      </c>
      <c r="E22" s="64">
        <v>175.39999999999998</v>
      </c>
      <c r="F22" s="166">
        <f t="shared" si="6"/>
        <v>6.2068721469266418E-2</v>
      </c>
      <c r="G22" s="210">
        <f>'Datos CBE'!E17</f>
        <v>9571.6550000000007</v>
      </c>
      <c r="H22" s="210">
        <f t="shared" si="5"/>
        <v>12397.555</v>
      </c>
      <c r="I22" s="210"/>
      <c r="J22" s="64">
        <v>622.6</v>
      </c>
      <c r="K22" s="166">
        <f t="shared" si="1"/>
        <v>6.5046222413992147E-2</v>
      </c>
      <c r="L22" s="195">
        <f>'Datos IB'!C22</f>
        <v>17440.462346825469</v>
      </c>
      <c r="M22" s="274">
        <v>17243.9550857965</v>
      </c>
      <c r="N22" s="203">
        <f t="shared" si="3"/>
        <v>3.9059796707934691E-2</v>
      </c>
      <c r="O22" s="287">
        <f>'Datos IB'!G22</f>
        <v>2.8667790893760481E-2</v>
      </c>
      <c r="P22" s="187">
        <f>'Datos IB'!F22</f>
        <v>9.6621846871874473E-2</v>
      </c>
      <c r="Q22" s="203">
        <f t="shared" si="4"/>
        <v>2.0121498542695723E-2</v>
      </c>
      <c r="R22" s="171">
        <f t="shared" si="7"/>
        <v>2.0524964026642636E-2</v>
      </c>
      <c r="S22" s="360">
        <v>2.170299751431139E-2</v>
      </c>
      <c r="T22" s="54">
        <v>3.2781911399994722E-2</v>
      </c>
      <c r="U22" s="111">
        <v>-1.4999999999999999E-2</v>
      </c>
    </row>
    <row r="23" spans="1:23" x14ac:dyDescent="0.25">
      <c r="A23" s="277" t="s">
        <v>13</v>
      </c>
      <c r="B23" s="64">
        <f>'Ingreso estructural no oil'!N21</f>
        <v>30701.273999999998</v>
      </c>
      <c r="C23" s="216">
        <f>'Balance Estructural'!R20</f>
        <v>-2.8037235321725893E-2</v>
      </c>
      <c r="D23" s="210">
        <f>'Datos CBE'!F18</f>
        <v>2900.6</v>
      </c>
      <c r="E23" s="64">
        <v>196.5</v>
      </c>
      <c r="F23" s="166">
        <f t="shared" si="6"/>
        <v>6.7744604564572847E-2</v>
      </c>
      <c r="G23" s="210">
        <f>'Datos CBE'!E18</f>
        <v>9731.7209999999995</v>
      </c>
      <c r="H23" s="210">
        <f t="shared" si="5"/>
        <v>12632.321</v>
      </c>
      <c r="I23" s="210"/>
      <c r="J23" s="64">
        <v>612.79999999999995</v>
      </c>
      <c r="K23" s="166">
        <f t="shared" si="1"/>
        <v>6.2969335023065287E-2</v>
      </c>
      <c r="L23" s="195">
        <f>'Datos IB'!C23</f>
        <v>17507.383710754897</v>
      </c>
      <c r="M23" s="274">
        <v>17412.862411828301</v>
      </c>
      <c r="N23" s="203">
        <f t="shared" si="3"/>
        <v>3.9508168136548782E-2</v>
      </c>
      <c r="O23" s="287">
        <f>'Datos IB'!G23</f>
        <v>2.1316033364225939E-2</v>
      </c>
      <c r="P23" s="187">
        <f>'Datos IB'!F23</f>
        <v>8.1503641416319494E-2</v>
      </c>
      <c r="Q23" s="203">
        <f t="shared" si="4"/>
        <v>2.8498024249976554E-2</v>
      </c>
      <c r="R23" s="171">
        <f t="shared" si="7"/>
        <v>2.3679188982938436E-2</v>
      </c>
      <c r="S23" s="360">
        <v>2.4931066520440862E-2</v>
      </c>
      <c r="T23" s="54">
        <v>3.6021569613298561E-2</v>
      </c>
      <c r="U23" s="111">
        <v>-1.4999999999999999E-2</v>
      </c>
    </row>
    <row r="24" spans="1:23" x14ac:dyDescent="0.25">
      <c r="A24" s="277" t="s">
        <v>14</v>
      </c>
      <c r="B24" s="64">
        <f>'Ingreso estructural no oil'!N22</f>
        <v>31527.607</v>
      </c>
      <c r="C24" s="216">
        <f>'Balance Estructural'!R21</f>
        <v>-3.460162992521533E-2</v>
      </c>
      <c r="D24" s="210">
        <f>'Datos CBE'!F19</f>
        <v>2976.8</v>
      </c>
      <c r="E24" s="64">
        <v>192.70000000000002</v>
      </c>
      <c r="F24" s="166">
        <f t="shared" si="6"/>
        <v>6.4733942488578347E-2</v>
      </c>
      <c r="G24" s="210">
        <f>'Datos CBE'!E19</f>
        <v>9866.6</v>
      </c>
      <c r="H24" s="210">
        <f t="shared" si="5"/>
        <v>12843.400000000001</v>
      </c>
      <c r="I24" s="210"/>
      <c r="J24" s="64">
        <v>612.40000000000009</v>
      </c>
      <c r="K24" s="166">
        <f t="shared" si="1"/>
        <v>6.2067986945857752E-2</v>
      </c>
      <c r="L24" s="195">
        <f>'Datos IB'!C24</f>
        <v>17564.016883816726</v>
      </c>
      <c r="M24" s="274">
        <v>17585.986430101399</v>
      </c>
      <c r="N24" s="203">
        <f t="shared" si="3"/>
        <v>3.9828667348053237E-2</v>
      </c>
      <c r="O24" s="287">
        <f>'Datos IB'!G24</f>
        <v>2.1963824289405798E-2</v>
      </c>
      <c r="P24" s="187">
        <f>'Datos IB'!F24</f>
        <v>7.5297939886377563E-2</v>
      </c>
      <c r="Q24" s="203">
        <f t="shared" si="4"/>
        <v>2.7869783605373111E-2</v>
      </c>
      <c r="R24" s="171">
        <f t="shared" si="7"/>
        <v>2.9916540790885196E-2</v>
      </c>
      <c r="S24" s="360">
        <v>3.1164667423600211E-2</v>
      </c>
      <c r="T24" s="54">
        <v>4.2427238918669709E-2</v>
      </c>
      <c r="U24" s="111">
        <v>-1.0999999999999999E-2</v>
      </c>
    </row>
    <row r="25" spans="1:23" s="48" customFormat="1" x14ac:dyDescent="0.25">
      <c r="A25" s="319" t="s">
        <v>15</v>
      </c>
      <c r="B25" s="157">
        <f>'Ingreso estructural no oil'!N23</f>
        <v>32432.858999999997</v>
      </c>
      <c r="C25" s="320">
        <f>'Balance Estructural'!R22</f>
        <v>-2.8992043023062138E-2</v>
      </c>
      <c r="D25" s="157">
        <f>'Datos CBE'!F20</f>
        <v>3016.2</v>
      </c>
      <c r="E25" s="157">
        <v>212.495</v>
      </c>
      <c r="F25" s="321">
        <f t="shared" si="6"/>
        <v>7.0451230024534184E-2</v>
      </c>
      <c r="G25" s="157">
        <f>'Datos CBE'!E20</f>
        <v>10017.779</v>
      </c>
      <c r="H25" s="157">
        <f t="shared" si="5"/>
        <v>13033.978999999999</v>
      </c>
      <c r="I25" s="157"/>
      <c r="J25" s="157">
        <v>614.3599999999999</v>
      </c>
      <c r="K25" s="321">
        <f t="shared" si="1"/>
        <v>6.1326966785751599E-2</v>
      </c>
      <c r="L25" s="323">
        <f>'Datos IB'!C25</f>
        <v>17652.484664099906</v>
      </c>
      <c r="M25" s="324">
        <v>17766.364373108499</v>
      </c>
      <c r="N25" s="325">
        <f t="shared" si="3"/>
        <v>4.0357487392248981E-2</v>
      </c>
      <c r="O25" s="325">
        <f>'Datos IB'!G25</f>
        <v>1.895124195032194E-2</v>
      </c>
      <c r="P25" s="326">
        <f>'Datos IB'!F25</f>
        <v>6.4683977984392849E-2</v>
      </c>
      <c r="Q25" s="331">
        <f t="shared" si="4"/>
        <v>3.3217302663381187E-2</v>
      </c>
      <c r="R25" s="327">
        <f t="shared" si="7"/>
        <v>2.6233888244550474E-2</v>
      </c>
      <c r="S25" s="360">
        <v>2.7407242276793628E-2</v>
      </c>
      <c r="T25" s="328">
        <v>3.8542407637736698E-2</v>
      </c>
      <c r="U25" s="329">
        <v>-5.0000000000000001E-3</v>
      </c>
      <c r="W25" s="48">
        <v>2003</v>
      </c>
    </row>
    <row r="26" spans="1:23" x14ac:dyDescent="0.25">
      <c r="A26" s="277" t="s">
        <v>16</v>
      </c>
      <c r="B26" s="64">
        <f>'Ingreso estructural no oil'!N24</f>
        <v>33270.702999999994</v>
      </c>
      <c r="C26" s="216">
        <f>'Balance Estructural'!R23</f>
        <v>-3.2001979374918263E-2</v>
      </c>
      <c r="D26" s="210">
        <f>'Datos CBE'!F21</f>
        <v>3159.7</v>
      </c>
      <c r="E26" s="64">
        <v>242.13500000000002</v>
      </c>
      <c r="F26" s="166">
        <f t="shared" si="6"/>
        <v>7.6632275216001536E-2</v>
      </c>
      <c r="G26" s="210">
        <f>'Datos CBE'!E21</f>
        <v>9885.5920000000006</v>
      </c>
      <c r="H26" s="210">
        <f t="shared" si="5"/>
        <v>13045.292000000001</v>
      </c>
      <c r="I26" s="210"/>
      <c r="J26" s="64">
        <v>617.96899999999994</v>
      </c>
      <c r="K26" s="166">
        <f t="shared" si="1"/>
        <v>6.2512088299820578E-2</v>
      </c>
      <c r="L26" s="195">
        <f>'Datos IB'!C26</f>
        <v>17779.40064661924</v>
      </c>
      <c r="M26" s="274">
        <v>17956.813609041699</v>
      </c>
      <c r="N26" s="204">
        <f t="shared" si="3"/>
        <v>4.1339618416912138E-2</v>
      </c>
      <c r="O26" s="287">
        <f>'Datos IB'!G26</f>
        <v>1.7850637522768498E-2</v>
      </c>
      <c r="P26" s="187">
        <f>'Datos IB'!F26</f>
        <v>3.9134057297911973E-2</v>
      </c>
      <c r="Q26" s="203">
        <f t="shared" si="4"/>
        <v>4.1990855196245847E-2</v>
      </c>
      <c r="R26" s="171">
        <f t="shared" si="7"/>
        <v>3.2247189475377337E-2</v>
      </c>
      <c r="S26" s="360">
        <v>3.326520056583683E-2</v>
      </c>
      <c r="T26" s="54">
        <v>4.4618059974356347E-2</v>
      </c>
      <c r="U26" s="111">
        <v>-8.0000000000000002E-3</v>
      </c>
    </row>
    <row r="27" spans="1:23" x14ac:dyDescent="0.25">
      <c r="A27" s="277" t="s">
        <v>17</v>
      </c>
      <c r="B27" s="64">
        <f>'Ingreso estructural no oil'!N25</f>
        <v>34347.221000000005</v>
      </c>
      <c r="C27" s="216">
        <f>'Balance Estructural'!R24</f>
        <v>-3.2221617930078231E-2</v>
      </c>
      <c r="D27" s="210">
        <f>'Datos CBE'!F22</f>
        <v>3270.9</v>
      </c>
      <c r="E27" s="64">
        <v>249.33499999999998</v>
      </c>
      <c r="F27" s="166">
        <f t="shared" si="6"/>
        <v>7.6228255220275751E-2</v>
      </c>
      <c r="G27" s="210">
        <f>'Datos CBE'!E22</f>
        <v>9731.0959999999995</v>
      </c>
      <c r="H27" s="210">
        <f t="shared" si="5"/>
        <v>13001.995999999999</v>
      </c>
      <c r="I27" s="210"/>
      <c r="J27" s="64">
        <v>606.0150081841432</v>
      </c>
      <c r="K27" s="166">
        <f t="shared" si="1"/>
        <v>6.2276130888457293E-2</v>
      </c>
      <c r="L27" s="195">
        <f>'Datos IB'!C27</f>
        <v>17993.59172022784</v>
      </c>
      <c r="M27" s="274">
        <v>18159.0128623618</v>
      </c>
      <c r="N27" s="204">
        <f t="shared" si="3"/>
        <v>4.2850533868954876E-2</v>
      </c>
      <c r="O27" s="287">
        <f>'Datos IB'!G27</f>
        <v>2.8675136116152355E-2</v>
      </c>
      <c r="P27" s="187">
        <f>'Datos IB'!F27</f>
        <v>3.1656943179206642E-2</v>
      </c>
      <c r="Q27" s="203">
        <f t="shared" si="4"/>
        <v>3.5315696497970665E-2</v>
      </c>
      <c r="R27" s="171">
        <f t="shared" si="7"/>
        <v>2.9486536638250103E-2</v>
      </c>
      <c r="S27" s="360">
        <v>3.0262425326137918E-2</v>
      </c>
      <c r="T27" s="54">
        <v>4.1654157167676807E-2</v>
      </c>
      <c r="U27" s="111">
        <v>-1E-3</v>
      </c>
    </row>
    <row r="28" spans="1:23" x14ac:dyDescent="0.25">
      <c r="A28" s="277" t="s">
        <v>18</v>
      </c>
      <c r="B28" s="64">
        <f>'Ingreso estructural no oil'!N26</f>
        <v>35434.224999999999</v>
      </c>
      <c r="C28" s="216">
        <f>'Balance Estructural'!R25</f>
        <v>-2.9992110960574629E-2</v>
      </c>
      <c r="D28" s="210">
        <f>'Datos CBE'!F23</f>
        <v>3491.2</v>
      </c>
      <c r="E28" s="64">
        <v>232.934</v>
      </c>
      <c r="F28" s="166">
        <f t="shared" si="6"/>
        <v>6.6720325389550875E-2</v>
      </c>
      <c r="G28" s="210">
        <f>'Datos CBE'!E23</f>
        <v>9679.3770000000004</v>
      </c>
      <c r="H28" s="210">
        <f t="shared" si="5"/>
        <v>13170.577000000001</v>
      </c>
      <c r="I28" s="210"/>
      <c r="J28" s="64">
        <v>612.77117069585506</v>
      </c>
      <c r="K28" s="166">
        <f t="shared" si="1"/>
        <v>6.3306881289555625E-2</v>
      </c>
      <c r="L28" s="195">
        <f>'Datos IB'!C28</f>
        <v>18263.694933745595</v>
      </c>
      <c r="M28" s="274">
        <v>18372.866721439201</v>
      </c>
      <c r="N28" s="204">
        <f t="shared" si="3"/>
        <v>4.4744734363659111E-2</v>
      </c>
      <c r="O28" s="287">
        <f>'Datos IB'!G28</f>
        <v>2.7271085425320418E-2</v>
      </c>
      <c r="P28" s="187">
        <f>'Datos IB'!F28</f>
        <v>2.4623710737003313E-2</v>
      </c>
      <c r="Q28" s="203">
        <f t="shared" si="4"/>
        <v>3.6671141412776498E-2</v>
      </c>
      <c r="R28" s="171">
        <f t="shared" si="7"/>
        <v>2.7119753263938291E-2</v>
      </c>
      <c r="S28" s="360">
        <v>2.7622333503383226E-2</v>
      </c>
      <c r="T28" s="54">
        <v>3.9498404557244113E-2</v>
      </c>
      <c r="U28" s="111">
        <v>-3.0000000000000001E-3</v>
      </c>
    </row>
    <row r="29" spans="1:23" s="48" customFormat="1" x14ac:dyDescent="0.25">
      <c r="A29" s="319" t="s">
        <v>19</v>
      </c>
      <c r="B29" s="157">
        <f>'Ingreso estructural no oil'!N27</f>
        <v>36591.661</v>
      </c>
      <c r="C29" s="320">
        <f>'Balance Estructural'!R26</f>
        <v>-2.9044522846116604E-2</v>
      </c>
      <c r="D29" s="157">
        <f>'Datos CBE'!F24</f>
        <v>3489.1</v>
      </c>
      <c r="E29" s="157">
        <v>215.399</v>
      </c>
      <c r="F29" s="321">
        <f t="shared" si="6"/>
        <v>6.1734831331862083E-2</v>
      </c>
      <c r="G29" s="157">
        <f>'Datos CBE'!E24</f>
        <v>9981.2579999999998</v>
      </c>
      <c r="H29" s="157">
        <f t="shared" si="5"/>
        <v>13470.358</v>
      </c>
      <c r="I29" s="157"/>
      <c r="J29" s="157">
        <v>598.12235159099578</v>
      </c>
      <c r="K29" s="321">
        <f t="shared" si="1"/>
        <v>5.9924545742730602E-2</v>
      </c>
      <c r="L29" s="323">
        <f>'Datos IB'!C29</f>
        <v>18604.437855366319</v>
      </c>
      <c r="M29" s="324">
        <v>18596.625646020799</v>
      </c>
      <c r="N29" s="325">
        <f t="shared" si="3"/>
        <v>4.673219886050517E-2</v>
      </c>
      <c r="O29" s="325">
        <f>'Datos IB'!G29</f>
        <v>3.3224990971469914E-2</v>
      </c>
      <c r="P29" s="326">
        <f>'Datos IB'!F29</f>
        <v>2.0362684893355576E-2</v>
      </c>
      <c r="Q29" s="325">
        <f t="shared" si="4"/>
        <v>2.9650021189237138E-2</v>
      </c>
      <c r="R29" s="327">
        <f t="shared" si="7"/>
        <v>2.3036872266328522E-2</v>
      </c>
      <c r="S29" s="360">
        <v>2.3228795859691016E-2</v>
      </c>
      <c r="T29" s="328">
        <v>3.5684617500061175E-2</v>
      </c>
      <c r="U29" s="329">
        <v>-4.0000000000000001E-3</v>
      </c>
      <c r="W29" s="48">
        <v>2004</v>
      </c>
    </row>
    <row r="30" spans="1:23" x14ac:dyDescent="0.25">
      <c r="A30" s="277" t="s">
        <v>20</v>
      </c>
      <c r="B30" s="64">
        <f>'Ingreso estructural no oil'!N28</f>
        <v>37600.598000000005</v>
      </c>
      <c r="C30" s="216">
        <f>'Balance Estructural'!R27</f>
        <v>-2.9470763569618055E-2</v>
      </c>
      <c r="D30" s="210">
        <f>'Datos CBE'!F25</f>
        <v>3810.9</v>
      </c>
      <c r="E30" s="64">
        <v>212.88900000000001</v>
      </c>
      <c r="F30" s="166">
        <f t="shared" si="6"/>
        <v>5.5863181925529401E-2</v>
      </c>
      <c r="G30" s="210">
        <f>'Datos CBE'!E25</f>
        <v>9530.8989999999994</v>
      </c>
      <c r="H30" s="210">
        <f t="shared" si="5"/>
        <v>13341.798999999999</v>
      </c>
      <c r="I30" s="210"/>
      <c r="J30" s="64">
        <v>603.55152959099576</v>
      </c>
      <c r="K30" s="166">
        <f t="shared" si="1"/>
        <v>6.3325771219587559E-2</v>
      </c>
      <c r="L30" s="195">
        <f>'Datos IB'!C30</f>
        <v>18864.170760691733</v>
      </c>
      <c r="M30" s="274">
        <v>18827.448428639</v>
      </c>
      <c r="N30" s="203">
        <f t="shared" si="3"/>
        <v>4.8484928259149074E-2</v>
      </c>
      <c r="O30" s="287">
        <f>'Datos IB'!G30</f>
        <v>3.0422333571939797E-2</v>
      </c>
      <c r="P30" s="187">
        <f>'Datos IB'!F30</f>
        <v>1.351171215123137E-2</v>
      </c>
      <c r="Q30" s="203">
        <f t="shared" si="4"/>
        <v>3.474689780127671E-2</v>
      </c>
      <c r="R30" s="171">
        <f t="shared" si="7"/>
        <v>2.482152401027303E-2</v>
      </c>
      <c r="S30" s="360">
        <v>2.4694299652797222E-2</v>
      </c>
      <c r="T30" s="54">
        <v>3.7486595980503128E-2</v>
      </c>
      <c r="U30" s="111">
        <v>-7.0000000000000001E-3</v>
      </c>
    </row>
    <row r="31" spans="1:23" x14ac:dyDescent="0.25">
      <c r="A31" s="277" t="s">
        <v>21</v>
      </c>
      <c r="B31" s="64">
        <f>'Ingreso estructural no oil'!N29</f>
        <v>38780.020000000004</v>
      </c>
      <c r="C31" s="216">
        <f>'Balance Estructural'!R28</f>
        <v>-2.5216011843325649E-2</v>
      </c>
      <c r="D31" s="210">
        <f>'Datos CBE'!F26</f>
        <v>3879.1</v>
      </c>
      <c r="E31" s="64">
        <v>195.69200000000001</v>
      </c>
      <c r="F31" s="166">
        <f t="shared" si="6"/>
        <v>5.0447784279858736E-2</v>
      </c>
      <c r="G31" s="210">
        <f>'Datos CBE'!E26</f>
        <v>9280.6090000000004</v>
      </c>
      <c r="H31" s="210">
        <f t="shared" si="5"/>
        <v>13159.709000000001</v>
      </c>
      <c r="I31" s="210"/>
      <c r="J31" s="64">
        <v>609.9915295909957</v>
      </c>
      <c r="K31" s="166">
        <f t="shared" si="1"/>
        <v>6.5727532491778901E-2</v>
      </c>
      <c r="L31" s="195">
        <f>'Datos IB'!C31</f>
        <v>19175.96852956566</v>
      </c>
      <c r="M31" s="274">
        <v>19062.571605365902</v>
      </c>
      <c r="N31" s="203">
        <f t="shared" si="3"/>
        <v>4.9758142133205396E-2</v>
      </c>
      <c r="O31" s="287">
        <f>'Datos IB'!G31</f>
        <v>2.9463655610444839E-2</v>
      </c>
      <c r="P31" s="187">
        <f>'Datos IB'!F31</f>
        <v>1.6731707578921284E-2</v>
      </c>
      <c r="Q31" s="203">
        <f t="shared" si="4"/>
        <v>3.4617359807168062E-2</v>
      </c>
      <c r="R31" s="171">
        <f t="shared" si="7"/>
        <v>2.0321635943855935E-2</v>
      </c>
      <c r="S31" s="360">
        <v>1.9919332750924189E-2</v>
      </c>
      <c r="T31" s="54">
        <v>3.2769872682396103E-2</v>
      </c>
      <c r="U31" s="111">
        <v>-4.0000000000000001E-3</v>
      </c>
    </row>
    <row r="32" spans="1:23" x14ac:dyDescent="0.25">
      <c r="A32" s="277" t="s">
        <v>22</v>
      </c>
      <c r="B32" s="64">
        <f>'Ingreso estructural no oil'!N30</f>
        <v>40218.524000000005</v>
      </c>
      <c r="C32" s="216">
        <f>'Balance Estructural'!R29</f>
        <v>-2.2286496836323357E-2</v>
      </c>
      <c r="D32" s="210">
        <f>'Datos CBE'!F27</f>
        <v>3926.1</v>
      </c>
      <c r="E32" s="64">
        <v>217.661</v>
      </c>
      <c r="F32" s="166">
        <f t="shared" si="6"/>
        <v>5.5439494663915845E-2</v>
      </c>
      <c r="G32" s="210">
        <f>'Datos CBE'!E27</f>
        <v>9171.4709999999995</v>
      </c>
      <c r="H32" s="210">
        <f t="shared" si="5"/>
        <v>13097.571</v>
      </c>
      <c r="I32" s="210"/>
      <c r="J32" s="64">
        <v>612.38660288491053</v>
      </c>
      <c r="K32" s="166">
        <f t="shared" si="1"/>
        <v>6.6770816032118568E-2</v>
      </c>
      <c r="L32" s="195">
        <f>'Datos IB'!C32</f>
        <v>19408.497074165116</v>
      </c>
      <c r="M32" s="274">
        <v>19299.599227987299</v>
      </c>
      <c r="N32" s="203">
        <f t="shared" si="3"/>
        <v>5.044027807956053E-2</v>
      </c>
      <c r="O32" s="287">
        <f>'Datos IB'!G32</f>
        <v>3.8326300984528938E-2</v>
      </c>
      <c r="P32" s="187">
        <f>'Datos IB'!F32</f>
        <v>2.1978703368836561E-2</v>
      </c>
      <c r="Q32" s="203">
        <f t="shared" si="4"/>
        <v>2.8997267635812517E-2</v>
      </c>
      <c r="R32" s="171">
        <f t="shared" si="7"/>
        <v>1.5638680317275486E-2</v>
      </c>
      <c r="S32" s="360">
        <v>1.5035002094993071E-2</v>
      </c>
      <c r="T32" s="54">
        <v>2.7676967799354978E-2</v>
      </c>
      <c r="U32" s="111">
        <v>-8.0000000000000002E-3</v>
      </c>
    </row>
    <row r="33" spans="1:23" s="48" customFormat="1" x14ac:dyDescent="0.25">
      <c r="A33" s="319" t="s">
        <v>23</v>
      </c>
      <c r="B33" s="157">
        <f>'Ingreso estructural no oil'!N31</f>
        <v>41507.084999999999</v>
      </c>
      <c r="C33" s="320">
        <f>'Balance Estructural'!R30</f>
        <v>-2.5687169770988113E-2</v>
      </c>
      <c r="D33" s="157">
        <f>'Datos CBE'!F28</f>
        <v>3686.3</v>
      </c>
      <c r="E33" s="157">
        <v>224.501</v>
      </c>
      <c r="F33" s="321">
        <f t="shared" si="6"/>
        <v>6.0901445894257111E-2</v>
      </c>
      <c r="G33" s="157">
        <f>'Datos CBE'!E28</f>
        <v>9664.4120000000003</v>
      </c>
      <c r="H33" s="157">
        <f t="shared" si="5"/>
        <v>13350.712</v>
      </c>
      <c r="I33" s="322">
        <f>H33/B33</f>
        <v>0.32164899076868442</v>
      </c>
      <c r="J33" s="157">
        <v>630.74342198976979</v>
      </c>
      <c r="K33" s="321">
        <f t="shared" si="1"/>
        <v>6.5264541907957746E-2</v>
      </c>
      <c r="L33" s="323">
        <f>'Datos IB'!C33</f>
        <v>19602.759205306713</v>
      </c>
      <c r="M33" s="324">
        <v>19537.2696322355</v>
      </c>
      <c r="N33" s="325">
        <f>M33/M29-1</f>
        <v>5.0581433649280028E-2</v>
      </c>
      <c r="O33" s="325">
        <f>'Datos IB'!G33</f>
        <v>3.7399510660607982E-2</v>
      </c>
      <c r="P33" s="326">
        <f>'Datos IB'!F33</f>
        <v>2.8653035120068671E-2</v>
      </c>
      <c r="Q33" s="325">
        <f t="shared" si="4"/>
        <v>2.8100117927981297E-2</v>
      </c>
      <c r="R33" s="327">
        <f t="shared" si="7"/>
        <v>1.8804226401438862E-2</v>
      </c>
      <c r="S33" s="360">
        <v>1.8068731568271663E-2</v>
      </c>
      <c r="T33" s="328">
        <v>3.0715933440989284E-2</v>
      </c>
      <c r="U33" s="329">
        <v>-1.2E-2</v>
      </c>
      <c r="W33" s="48">
        <v>2005</v>
      </c>
    </row>
    <row r="34" spans="1:23" x14ac:dyDescent="0.25">
      <c r="A34" s="277" t="s">
        <v>24</v>
      </c>
      <c r="B34" s="64">
        <f>'Ingreso estructural no oil'!N32</f>
        <v>42961.464</v>
      </c>
      <c r="C34" s="216">
        <f>'Balance Estructural'!R31</f>
        <v>-1.9988575637203559E-2</v>
      </c>
      <c r="D34" s="210">
        <f>'Datos CBE'!F29</f>
        <v>3828.7256689500023</v>
      </c>
      <c r="E34" s="64">
        <v>220.42499999999998</v>
      </c>
      <c r="F34" s="166">
        <f t="shared" si="6"/>
        <v>5.7571374671105596E-2</v>
      </c>
      <c r="G34" s="210">
        <f>'Datos CBE'!E29</f>
        <v>10023.896000000001</v>
      </c>
      <c r="H34" s="210">
        <f t="shared" si="5"/>
        <v>13852.621668950003</v>
      </c>
      <c r="I34" s="210"/>
      <c r="J34" s="64">
        <v>635.83524398976988</v>
      </c>
      <c r="K34" s="166">
        <f t="shared" si="1"/>
        <v>6.3431947417428303E-2</v>
      </c>
      <c r="L34" s="195">
        <f>'Datos IB'!C34</f>
        <v>19802.828017975899</v>
      </c>
      <c r="M34" s="274">
        <v>19775.410161562599</v>
      </c>
      <c r="N34" s="203">
        <f t="shared" si="3"/>
        <v>5.0349984307041185E-2</v>
      </c>
      <c r="O34" s="287">
        <f>'Datos IB'!G34</f>
        <v>3.647099687391453E-2</v>
      </c>
      <c r="P34" s="187">
        <f>'Datos IB'!F34</f>
        <v>3.8081385739314522E-2</v>
      </c>
      <c r="Q34" s="203">
        <f t="shared" si="4"/>
        <v>2.4011955089321232E-2</v>
      </c>
      <c r="R34" s="171">
        <f t="shared" si="7"/>
        <v>1.1903163860566836E-2</v>
      </c>
      <c r="S34" s="360">
        <v>1.1126318805468886E-2</v>
      </c>
      <c r="T34" s="54">
        <v>2.3815327867116303E-2</v>
      </c>
      <c r="U34" s="111">
        <v>-8.0000000000000002E-3</v>
      </c>
    </row>
    <row r="35" spans="1:23" x14ac:dyDescent="0.25">
      <c r="A35" s="277" t="s">
        <v>25</v>
      </c>
      <c r="B35" s="64">
        <f>'Ingreso estructural no oil'!N33</f>
        <v>44467.63</v>
      </c>
      <c r="C35" s="216">
        <f>'Balance Estructural'!R32</f>
        <v>-1.8861527388166679E-2</v>
      </c>
      <c r="D35" s="210">
        <f>'Datos CBE'!F30</f>
        <v>3629.4986689500015</v>
      </c>
      <c r="E35" s="64">
        <v>223.77600000000001</v>
      </c>
      <c r="F35" s="166">
        <f t="shared" si="6"/>
        <v>6.1654795995485914E-2</v>
      </c>
      <c r="G35" s="210">
        <f>'Datos CBE'!E30</f>
        <v>9171.0409999999993</v>
      </c>
      <c r="H35" s="210">
        <f t="shared" si="5"/>
        <v>12800.539668950001</v>
      </c>
      <c r="I35" s="210"/>
      <c r="J35" s="64">
        <v>691.21123989769819</v>
      </c>
      <c r="K35" s="166">
        <f t="shared" si="1"/>
        <v>7.5368896496886037E-2</v>
      </c>
      <c r="L35" s="195">
        <f>'Datos IB'!C35</f>
        <v>19982.630122071445</v>
      </c>
      <c r="M35" s="274">
        <v>20014.503463098699</v>
      </c>
      <c r="N35" s="203">
        <f t="shared" si="3"/>
        <v>4.993722134871037E-2</v>
      </c>
      <c r="O35" s="287">
        <f>'Datos IB'!G35</f>
        <v>4.0102827763496052E-2</v>
      </c>
      <c r="P35" s="187">
        <f>'Datos IB'!F35</f>
        <v>3.1115319315659029E-2</v>
      </c>
      <c r="Q35" s="203">
        <f t="shared" si="4"/>
        <v>3.2690378332309714E-2</v>
      </c>
      <c r="R35" s="171">
        <f t="shared" si="7"/>
        <v>1.4132949199647336E-2</v>
      </c>
      <c r="S35" s="360">
        <v>1.3471009378531473E-2</v>
      </c>
      <c r="T35" s="54">
        <v>2.4773174889101725E-2</v>
      </c>
      <c r="U35" s="111">
        <v>-1.4E-2</v>
      </c>
    </row>
    <row r="36" spans="1:23" x14ac:dyDescent="0.25">
      <c r="A36" s="277" t="s">
        <v>26</v>
      </c>
      <c r="B36" s="64">
        <f>'Ingreso estructural no oil'!N34</f>
        <v>45763.39</v>
      </c>
      <c r="C36" s="216">
        <f>'Balance Estructural'!R33</f>
        <v>-1.7030940467454365E-2</v>
      </c>
      <c r="D36" s="210">
        <f>'Datos CBE'!F31</f>
        <v>3284.628668950003</v>
      </c>
      <c r="E36" s="64">
        <v>235.74199999999999</v>
      </c>
      <c r="F36" s="166">
        <f t="shared" si="6"/>
        <v>7.1771278814100961E-2</v>
      </c>
      <c r="G36" s="210">
        <f>'Datos CBE'!E31</f>
        <v>9029.8580000000002</v>
      </c>
      <c r="H36" s="210">
        <f t="shared" si="5"/>
        <v>12314.486668950003</v>
      </c>
      <c r="I36" s="210"/>
      <c r="J36" s="64">
        <v>711.11516660378356</v>
      </c>
      <c r="K36" s="166">
        <f t="shared" si="1"/>
        <v>7.875153370117044E-2</v>
      </c>
      <c r="L36" s="195">
        <f>'Datos IB'!C36</f>
        <v>20229.718693711951</v>
      </c>
      <c r="M36" s="274">
        <v>20255.306082358002</v>
      </c>
      <c r="N36" s="203">
        <f t="shared" si="3"/>
        <v>4.9519518155837439E-2</v>
      </c>
      <c r="O36" s="287">
        <f>'Datos IB'!G36</f>
        <v>3.3355909244835669E-2</v>
      </c>
      <c r="P36" s="187">
        <f>'Datos IB'!F36</f>
        <v>3.1903441526667686E-2</v>
      </c>
      <c r="Q36" s="203">
        <f t="shared" si="4"/>
        <v>4.2517947311447056E-2</v>
      </c>
      <c r="R36" s="171">
        <f t="shared" si="7"/>
        <v>1.5235780756669055E-2</v>
      </c>
      <c r="S36" s="360">
        <v>1.4708096695073496E-2</v>
      </c>
      <c r="T36" s="54">
        <v>2.5217032621432708E-2</v>
      </c>
      <c r="U36" s="111">
        <v>-1.2999999999999999E-2</v>
      </c>
    </row>
    <row r="37" spans="1:23" s="48" customFormat="1" x14ac:dyDescent="0.25">
      <c r="A37" s="319" t="s">
        <v>27</v>
      </c>
      <c r="B37" s="157">
        <f>'Ingreso estructural no oil'!N35</f>
        <v>46802.044000000002</v>
      </c>
      <c r="C37" s="320">
        <f>'Balance Estructural'!R34</f>
        <v>-1.8709040353641959E-2</v>
      </c>
      <c r="D37" s="157">
        <f>'Datos CBE'!F32</f>
        <v>3277.6356689500026</v>
      </c>
      <c r="E37" s="157">
        <v>227.53300000000002</v>
      </c>
      <c r="F37" s="321">
        <f t="shared" si="6"/>
        <v>6.9419857171889601E-2</v>
      </c>
      <c r="G37" s="157">
        <f>'Datos CBE'!E32</f>
        <v>9008.3780000000006</v>
      </c>
      <c r="H37" s="157">
        <f t="shared" si="5"/>
        <v>12286.013668950003</v>
      </c>
      <c r="I37" s="322">
        <f>H37/B37</f>
        <v>0.26251019440411627</v>
      </c>
      <c r="J37" s="157">
        <v>714.2314230989241</v>
      </c>
      <c r="K37" s="321">
        <f t="shared" si="1"/>
        <v>7.928524126084896E-2</v>
      </c>
      <c r="L37" s="323">
        <f>'Datos IB'!C37</f>
        <v>20437.353252250854</v>
      </c>
      <c r="M37" s="324">
        <v>20498.255530223701</v>
      </c>
      <c r="N37" s="325">
        <f t="shared" si="3"/>
        <v>4.9187318191208362E-2</v>
      </c>
      <c r="O37" s="325">
        <f>'Datos IB'!G37</f>
        <v>1.9373315363881538E-2</v>
      </c>
      <c r="P37" s="326">
        <f>'Datos IB'!F37</f>
        <v>3.0975452196382536E-2</v>
      </c>
      <c r="Q37" s="325">
        <f t="shared" si="4"/>
        <v>5.3041853666764421E-2</v>
      </c>
      <c r="R37" s="327">
        <f t="shared" si="7"/>
        <v>1.9673458088665871E-2</v>
      </c>
      <c r="S37" s="360">
        <v>1.9286203482118056E-2</v>
      </c>
      <c r="T37" s="328">
        <v>2.9454325120873377E-2</v>
      </c>
      <c r="U37" s="329">
        <v>-1.2999999999999999E-2</v>
      </c>
      <c r="W37" s="48">
        <v>2006</v>
      </c>
    </row>
    <row r="38" spans="1:23" x14ac:dyDescent="0.25">
      <c r="A38" s="277" t="s">
        <v>28</v>
      </c>
      <c r="B38" s="64">
        <f>'Ingreso estructural no oil'!N36</f>
        <v>47461.555999999997</v>
      </c>
      <c r="C38" s="216">
        <f>'Balance Estructural'!R35</f>
        <v>-2.0549259390450197E-2</v>
      </c>
      <c r="D38" s="210">
        <f>'Datos CBE'!F33</f>
        <v>3213.7889815600024</v>
      </c>
      <c r="E38" s="64">
        <v>214.238</v>
      </c>
      <c r="F38" s="166">
        <f t="shared" si="6"/>
        <v>6.666212412490348E-2</v>
      </c>
      <c r="G38" s="210">
        <f>'Datos CBE'!E33</f>
        <v>9175.4030000000002</v>
      </c>
      <c r="H38" s="210">
        <f t="shared" si="5"/>
        <v>12389.191981560003</v>
      </c>
      <c r="I38" s="210"/>
      <c r="J38" s="64">
        <v>738.20142309892401</v>
      </c>
      <c r="K38" s="166">
        <f t="shared" si="1"/>
        <v>8.0454386918909604E-2</v>
      </c>
      <c r="L38" s="195">
        <f>'Datos IB'!C38</f>
        <v>20640.876825628697</v>
      </c>
      <c r="M38" s="274">
        <v>20743.5332567558</v>
      </c>
      <c r="N38" s="203">
        <f t="shared" si="3"/>
        <v>4.8955904695971331E-2</v>
      </c>
      <c r="O38" s="287">
        <f>'Datos IB'!G38</f>
        <v>2.4240951742627415E-2</v>
      </c>
      <c r="P38" s="187">
        <f>'Datos IB'!F38</f>
        <v>2.0571282998439688E-2</v>
      </c>
      <c r="Q38" s="203">
        <f t="shared" si="4"/>
        <v>5.2361310169095322E-2</v>
      </c>
      <c r="R38" s="171">
        <f t="shared" si="7"/>
        <v>2.1396706510745434E-2</v>
      </c>
      <c r="S38" s="360">
        <v>2.1152776131514374E-2</v>
      </c>
      <c r="T38" s="54">
        <v>3.1093196651759986E-2</v>
      </c>
      <c r="U38" s="111">
        <v>-0.01</v>
      </c>
    </row>
    <row r="39" spans="1:23" x14ac:dyDescent="0.25">
      <c r="A39" s="277" t="s">
        <v>29</v>
      </c>
      <c r="B39" s="64">
        <f>'Ingreso estructural no oil'!N37</f>
        <v>48217.407000000007</v>
      </c>
      <c r="C39" s="216">
        <f>'Balance Estructural'!R36</f>
        <v>-2.5999391351251008E-2</v>
      </c>
      <c r="D39" s="210">
        <f>'Datos CBE'!F34</f>
        <v>2880.0029815600028</v>
      </c>
      <c r="E39" s="64">
        <v>217.85899999999998</v>
      </c>
      <c r="F39" s="166">
        <f t="shared" si="6"/>
        <v>7.5645407798151973E-2</v>
      </c>
      <c r="G39" s="210">
        <f>'Datos CBE'!E34</f>
        <v>9201.39</v>
      </c>
      <c r="H39" s="210">
        <f t="shared" si="5"/>
        <v>12081.392981560002</v>
      </c>
      <c r="I39" s="210"/>
      <c r="J39" s="64">
        <v>698.59441900685249</v>
      </c>
      <c r="K39" s="166">
        <f t="shared" si="1"/>
        <v>7.5922705048569031E-2</v>
      </c>
      <c r="L39" s="195">
        <f>'Datos IB'!C39</f>
        <v>20791.492273197524</v>
      </c>
      <c r="M39" s="274">
        <v>20990.712156711601</v>
      </c>
      <c r="N39" s="203">
        <f t="shared" si="3"/>
        <v>4.8775064313374861E-2</v>
      </c>
      <c r="O39" s="287">
        <f>'Datos IB'!G39</f>
        <v>2.6506838029329405E-2</v>
      </c>
      <c r="P39" s="187">
        <f>'Datos IB'!F39</f>
        <v>1.7130553180709995E-2</v>
      </c>
      <c r="Q39" s="203">
        <f t="shared" si="4"/>
        <v>5.03781358441324E-2</v>
      </c>
      <c r="R39" s="171">
        <f t="shared" si="7"/>
        <v>2.6382378065100711E-2</v>
      </c>
      <c r="S39" s="360">
        <v>2.6268634030424329E-2</v>
      </c>
      <c r="T39" s="54">
        <v>3.5654408902673532E-2</v>
      </c>
      <c r="U39" s="111">
        <v>-8.9999999999999993E-3</v>
      </c>
    </row>
    <row r="40" spans="1:23" x14ac:dyDescent="0.25">
      <c r="A40" s="277" t="s">
        <v>30</v>
      </c>
      <c r="B40" s="64">
        <f>'Ingreso estructural no oil'!N38</f>
        <v>49198.710999999996</v>
      </c>
      <c r="C40" s="216">
        <f>'Balance Estructural'!R37</f>
        <v>-2.8800846398894225E-2</v>
      </c>
      <c r="D40" s="210">
        <f>'Datos CBE'!F35</f>
        <v>3066.2329815600033</v>
      </c>
      <c r="E40" s="64">
        <v>186.93700000000001</v>
      </c>
      <c r="F40" s="166">
        <f t="shared" si="6"/>
        <v>6.0966339193472614E-2</v>
      </c>
      <c r="G40" s="210">
        <f>'Datos CBE'!E35</f>
        <v>9179.1080000000002</v>
      </c>
      <c r="H40" s="210">
        <f t="shared" si="5"/>
        <v>12245.340981560003</v>
      </c>
      <c r="I40" s="210"/>
      <c r="J40" s="64">
        <v>696.09725649514064</v>
      </c>
      <c r="K40" s="166">
        <f t="shared" si="1"/>
        <v>7.5834956566056377E-2</v>
      </c>
      <c r="L40" s="195">
        <f>'Datos IB'!C40</f>
        <v>21048.937302077989</v>
      </c>
      <c r="M40" s="274">
        <v>21238.3387922812</v>
      </c>
      <c r="N40" s="203">
        <f t="shared" si="3"/>
        <v>4.8532108373291916E-2</v>
      </c>
      <c r="O40" s="287">
        <f>'Datos IB'!G40</f>
        <v>2.3604784532197387E-2</v>
      </c>
      <c r="P40" s="187">
        <f>'Datos IB'!F40</f>
        <v>2.5353270318970722E-2</v>
      </c>
      <c r="Q40" s="203">
        <f t="shared" si="4"/>
        <v>4.6945895591188842E-2</v>
      </c>
      <c r="R40" s="171">
        <f t="shared" si="7"/>
        <v>2.8424318752502117E-2</v>
      </c>
      <c r="S40" s="360">
        <v>2.8372446324086011E-2</v>
      </c>
      <c r="T40" s="54">
        <v>3.7565478075088102E-2</v>
      </c>
      <c r="U40" s="111">
        <v>-7.0000000000000001E-3</v>
      </c>
    </row>
    <row r="41" spans="1:23" s="48" customFormat="1" x14ac:dyDescent="0.25">
      <c r="A41" s="319" t="s">
        <v>31</v>
      </c>
      <c r="B41" s="157">
        <f>'Ingreso estructural no oil'!N39</f>
        <v>51007.776999999995</v>
      </c>
      <c r="C41" s="320">
        <f>'Balance Estructural'!R38</f>
        <v>-2.3341062982374605E-2</v>
      </c>
      <c r="D41" s="157">
        <f>'Datos CBE'!F36</f>
        <v>3240.081981560003</v>
      </c>
      <c r="E41" s="157">
        <v>181.58500000000001</v>
      </c>
      <c r="F41" s="321">
        <f t="shared" si="6"/>
        <v>5.6043335024681146E-2</v>
      </c>
      <c r="G41" s="157">
        <f>'Datos CBE'!E36</f>
        <v>9374.1640000000007</v>
      </c>
      <c r="H41" s="157">
        <f t="shared" si="5"/>
        <v>12614.245981560003</v>
      </c>
      <c r="I41" s="322">
        <f>H41/B41</f>
        <v>0.24730044560773556</v>
      </c>
      <c r="J41" s="157">
        <v>732.90900000000011</v>
      </c>
      <c r="K41" s="321">
        <f t="shared" si="1"/>
        <v>7.8183931921822575E-2</v>
      </c>
      <c r="L41" s="323">
        <f>'Datos IB'!C41</f>
        <v>21358.824000000001</v>
      </c>
      <c r="M41" s="324">
        <v>21482.967604087298</v>
      </c>
      <c r="N41" s="325">
        <f t="shared" si="3"/>
        <v>4.8038823226283167E-2</v>
      </c>
      <c r="O41" s="325">
        <f>'Datos IB'!G41</f>
        <v>3.9743843992728234E-2</v>
      </c>
      <c r="P41" s="326">
        <f>'Datos IB'!F41</f>
        <v>2.7945737648422675E-2</v>
      </c>
      <c r="Q41" s="325">
        <f t="shared" si="4"/>
        <v>3.4495381115341998E-2</v>
      </c>
      <c r="R41" s="327">
        <f t="shared" si="7"/>
        <v>2.0145285121027968E-2</v>
      </c>
      <c r="S41" s="360">
        <v>2.0082191812958415E-2</v>
      </c>
      <c r="T41" s="328">
        <v>2.9013851506554136E-2</v>
      </c>
      <c r="U41" s="329">
        <v>-7.0000000000000001E-3</v>
      </c>
      <c r="W41" s="48">
        <v>2007</v>
      </c>
    </row>
    <row r="42" spans="1:23" x14ac:dyDescent="0.25">
      <c r="A42" s="277" t="s">
        <v>32</v>
      </c>
      <c r="B42" s="64">
        <f>'Ingreso estructural no oil'!N40</f>
        <v>53541.546999999999</v>
      </c>
      <c r="C42" s="216">
        <f>'Balance Estructural'!R39</f>
        <v>-2.9668387312989278E-2</v>
      </c>
      <c r="D42" s="210">
        <f>'Datos CBE'!F37</f>
        <v>3088.6409815600036</v>
      </c>
      <c r="E42" s="64">
        <v>164.482</v>
      </c>
      <c r="F42" s="166">
        <f t="shared" si="6"/>
        <v>5.3253842379868903E-2</v>
      </c>
      <c r="G42" s="210">
        <f>'Datos CBE'!E37</f>
        <v>9107.384</v>
      </c>
      <c r="H42" s="210">
        <f t="shared" si="5"/>
        <v>12196.024981560004</v>
      </c>
      <c r="I42" s="210"/>
      <c r="J42" s="64">
        <v>712.82900000000006</v>
      </c>
      <c r="K42" s="166">
        <f t="shared" ref="K42:K73" si="8">J42/G42</f>
        <v>7.8269347158305844E-2</v>
      </c>
      <c r="L42" s="195">
        <f>'Datos IB'!C42</f>
        <v>21667.999090661091</v>
      </c>
      <c r="M42" s="274">
        <v>21719.258644829999</v>
      </c>
      <c r="N42" s="204">
        <f t="shared" ref="N42:N73" si="9">M42/M38-1</f>
        <v>4.7037569540204771E-2</v>
      </c>
      <c r="O42" s="287">
        <f>'Datos IB'!G42</f>
        <v>4.0954280208157945E-2</v>
      </c>
      <c r="P42" s="187">
        <f>'Datos IB'!F42</f>
        <v>5.2825361165715012E-2</v>
      </c>
      <c r="Q42" s="203">
        <f t="shared" ref="Q42:Q73" si="10">(((1+K42)/(1+O42))-1)*(G42/SUM(D42+G42))+(((1+F42)/(1+P42))-1)*(D42/SUM(D42+G42))</f>
        <v>2.6871807154451168E-2</v>
      </c>
      <c r="R42" s="171">
        <f t="shared" si="7"/>
        <v>2.5281264720833228E-2</v>
      </c>
      <c r="S42" s="360">
        <v>2.5175205928662153E-2</v>
      </c>
      <c r="T42" s="54">
        <v>3.322092122846599E-2</v>
      </c>
      <c r="U42" s="111">
        <v>-1.7999999999999999E-2</v>
      </c>
    </row>
    <row r="43" spans="1:23" x14ac:dyDescent="0.25">
      <c r="A43" s="277" t="s">
        <v>33</v>
      </c>
      <c r="B43" s="64">
        <f>'Ingreso estructural no oil'!N41</f>
        <v>56847.435000000005</v>
      </c>
      <c r="C43" s="216">
        <f>'Balance Estructural'!R40</f>
        <v>-3.5903761126824862E-2</v>
      </c>
      <c r="D43" s="210">
        <f>'Datos CBE'!F38</f>
        <v>3038.307981560004</v>
      </c>
      <c r="E43" s="64">
        <v>172.22900000000001</v>
      </c>
      <c r="F43" s="166">
        <f t="shared" si="6"/>
        <v>5.6685826797443321E-2</v>
      </c>
      <c r="G43" s="210">
        <f>'Datos CBE'!E38</f>
        <v>8847.8250000000007</v>
      </c>
      <c r="H43" s="210">
        <f t="shared" si="5"/>
        <v>11886.132981560004</v>
      </c>
      <c r="I43" s="210"/>
      <c r="J43" s="64">
        <v>724.93000000000006</v>
      </c>
      <c r="K43" s="166">
        <f t="shared" si="8"/>
        <v>8.1933130458615541E-2</v>
      </c>
      <c r="L43" s="195">
        <f>'Datos IB'!C43</f>
        <v>22141.625634838107</v>
      </c>
      <c r="M43" s="274">
        <v>21940.6302911684</v>
      </c>
      <c r="N43" s="204">
        <f t="shared" si="9"/>
        <v>4.5254211832592484E-2</v>
      </c>
      <c r="O43" s="287">
        <f>'Datos IB'!G43</f>
        <v>4.3793851236061165E-2</v>
      </c>
      <c r="P43" s="187">
        <f>'Datos IB'!F43</f>
        <v>9.0529854928086628E-2</v>
      </c>
      <c r="Q43" s="203">
        <f t="shared" si="10"/>
        <v>1.9266079023356197E-2</v>
      </c>
      <c r="R43" s="171">
        <f t="shared" si="7"/>
        <v>3.0705203502424901E-2</v>
      </c>
      <c r="S43" s="360">
        <v>3.0511681676957086E-2</v>
      </c>
      <c r="T43" s="54">
        <v>3.765288426463196E-2</v>
      </c>
      <c r="U43" s="111">
        <v>-1.4999999999999999E-2</v>
      </c>
    </row>
    <row r="44" spans="1:23" x14ac:dyDescent="0.25">
      <c r="A44" s="277" t="s">
        <v>34</v>
      </c>
      <c r="B44" s="64">
        <f>'Ingreso estructural no oil'!N42</f>
        <v>60137.862999999998</v>
      </c>
      <c r="C44" s="216">
        <f>'Balance Estructural'!R41</f>
        <v>-5.0567187865144247E-2</v>
      </c>
      <c r="D44" s="210">
        <f>'Datos CBE'!F39</f>
        <v>2967.3319815600039</v>
      </c>
      <c r="E44" s="64">
        <v>149.08200000000002</v>
      </c>
      <c r="F44" s="166">
        <f t="shared" si="6"/>
        <v>5.0241092310009658E-2</v>
      </c>
      <c r="G44" s="210">
        <f>'Datos CBE'!E39</f>
        <v>8786.4439999999995</v>
      </c>
      <c r="H44" s="210">
        <f t="shared" si="5"/>
        <v>11753.775981560004</v>
      </c>
      <c r="I44" s="210"/>
      <c r="J44" s="64">
        <v>708.52300000000002</v>
      </c>
      <c r="K44" s="166">
        <f t="shared" si="8"/>
        <v>8.0638196749447222E-2</v>
      </c>
      <c r="L44" s="195">
        <f>'Datos IB'!C44</f>
        <v>22514.790802051521</v>
      </c>
      <c r="M44" s="274">
        <v>22139.988333313398</v>
      </c>
      <c r="N44" s="204">
        <f t="shared" si="9"/>
        <v>4.2453863734384534E-2</v>
      </c>
      <c r="O44" s="287">
        <f>'Datos IB'!G44</f>
        <v>5.3028144439144054E-2</v>
      </c>
      <c r="P44" s="187">
        <f>'Datos IB'!F44</f>
        <v>9.9522121165407595E-2</v>
      </c>
      <c r="Q44" s="203">
        <f t="shared" si="10"/>
        <v>8.2850524847725149E-3</v>
      </c>
      <c r="R44" s="171">
        <f t="shared" si="7"/>
        <v>4.4160959085776011E-2</v>
      </c>
      <c r="S44" s="360">
        <v>4.3895806206990844E-2</v>
      </c>
      <c r="T44" s="54">
        <v>5.0195938058568319E-2</v>
      </c>
      <c r="U44" s="111">
        <v>-1.0999999999999999E-2</v>
      </c>
    </row>
    <row r="45" spans="1:23" s="343" customFormat="1" x14ac:dyDescent="0.25">
      <c r="A45" s="332" t="s">
        <v>35</v>
      </c>
      <c r="B45" s="333">
        <f>'Ingreso estructural no oil'!N43</f>
        <v>61762.635000000009</v>
      </c>
      <c r="C45" s="334">
        <f>'Balance Estructural'!R42</f>
        <v>-5.8640788164496749E-2</v>
      </c>
      <c r="D45" s="333">
        <f>'Datos CBE'!F40</f>
        <v>3645.4169815600039</v>
      </c>
      <c r="E45" s="333">
        <v>144.74299999999999</v>
      </c>
      <c r="F45" s="335">
        <f t="shared" si="6"/>
        <v>3.9705471481635363E-2</v>
      </c>
      <c r="G45" s="333">
        <f>'Datos CBE'!E40</f>
        <v>8788.4249999999993</v>
      </c>
      <c r="H45" s="333">
        <f t="shared" si="5"/>
        <v>12433.841981560003</v>
      </c>
      <c r="I45" s="322">
        <f>H45/B45</f>
        <v>0.20131657241566847</v>
      </c>
      <c r="J45" s="333">
        <v>652.18300000000011</v>
      </c>
      <c r="K45" s="335">
        <f t="shared" si="8"/>
        <v>7.4209315093432579E-2</v>
      </c>
      <c r="L45" s="336">
        <f>'Datos IB'!C45</f>
        <v>22949.299627191518</v>
      </c>
      <c r="M45" s="337">
        <v>22312.248258564101</v>
      </c>
      <c r="N45" s="339">
        <f>M45/M41-1</f>
        <v>3.8601773728831779E-2</v>
      </c>
      <c r="O45" s="339">
        <f>'Datos IB'!G45</f>
        <v>1.6016873586384373E-2</v>
      </c>
      <c r="P45" s="338">
        <f>'Datos IB'!F45</f>
        <v>9.2712809728444645E-2</v>
      </c>
      <c r="Q45" s="339">
        <f t="shared" si="10"/>
        <v>2.6260511291715759E-2</v>
      </c>
      <c r="R45" s="340">
        <f t="shared" si="7"/>
        <v>5.6248629094517048E-2</v>
      </c>
      <c r="S45" s="360">
        <v>5.5941974263714972E-2</v>
      </c>
      <c r="T45" s="341">
        <v>6.2061289288804507E-2</v>
      </c>
      <c r="U45" s="342">
        <v>1E-3</v>
      </c>
      <c r="W45" s="343">
        <v>2008</v>
      </c>
    </row>
    <row r="46" spans="1:23" x14ac:dyDescent="0.25">
      <c r="A46" s="277" t="s">
        <v>36</v>
      </c>
      <c r="B46" s="64">
        <f>'Ingreso estructural no oil'!N44</f>
        <v>62278.766999999993</v>
      </c>
      <c r="C46" s="216">
        <f>'Balance Estructural'!R43</f>
        <v>-8.2984943517646959E-2</v>
      </c>
      <c r="D46" s="210">
        <f>'Datos CBE'!F41</f>
        <v>4133.7089815600048</v>
      </c>
      <c r="E46" s="64">
        <v>131.89500000000001</v>
      </c>
      <c r="F46" s="166">
        <f t="shared" si="6"/>
        <v>3.1907180836475979E-2</v>
      </c>
      <c r="G46" s="210">
        <f>'Datos CBE'!E41</f>
        <v>8685.3109999999997</v>
      </c>
      <c r="H46" s="210">
        <f t="shared" si="5"/>
        <v>12819.019981560004</v>
      </c>
      <c r="I46" s="210"/>
      <c r="J46" s="64">
        <v>512</v>
      </c>
      <c r="K46" s="166">
        <f t="shared" si="8"/>
        <v>5.8950105528748485E-2</v>
      </c>
      <c r="L46" s="195">
        <f>'Datos IB'!C46</f>
        <v>23076.112111979059</v>
      </c>
      <c r="M46" s="274">
        <v>22456.073670886599</v>
      </c>
      <c r="N46" s="204">
        <f t="shared" si="9"/>
        <v>3.392450166488481E-2</v>
      </c>
      <c r="O46" s="287">
        <f>'Datos IB'!G46</f>
        <v>-4.0232531459161169E-4</v>
      </c>
      <c r="P46" s="187">
        <f>'Datos IB'!F46</f>
        <v>7.8833501274375939E-2</v>
      </c>
      <c r="Q46" s="203">
        <f t="shared" si="10"/>
        <v>2.6202994705836979E-2</v>
      </c>
      <c r="R46" s="171">
        <f t="shared" si="7"/>
        <v>8.1447751719205194E-2</v>
      </c>
      <c r="S46" s="360">
        <v>8.0781277907771259E-2</v>
      </c>
      <c r="T46" s="54">
        <v>8.6362826888244884E-2</v>
      </c>
      <c r="U46" s="111">
        <v>1.2E-2</v>
      </c>
    </row>
    <row r="47" spans="1:23" x14ac:dyDescent="0.25">
      <c r="A47" s="277" t="s">
        <v>37</v>
      </c>
      <c r="B47" s="64">
        <f>'Ingreso estructural no oil'!N45</f>
        <v>62078.712999999996</v>
      </c>
      <c r="C47" s="216">
        <f>'Balance Estructural'!R44</f>
        <v>-7.3270085282917452E-2</v>
      </c>
      <c r="D47" s="210">
        <f>'Datos CBE'!F42</f>
        <v>3019.2109815600047</v>
      </c>
      <c r="E47" s="64">
        <v>148.62599999999998</v>
      </c>
      <c r="F47" s="166">
        <f t="shared" si="6"/>
        <v>4.9226768486118178E-2</v>
      </c>
      <c r="G47" s="210">
        <f>'Datos CBE'!E42</f>
        <v>5801.8710000000001</v>
      </c>
      <c r="H47" s="210">
        <f t="shared" si="5"/>
        <v>8821.0819815600044</v>
      </c>
      <c r="I47" s="210"/>
      <c r="J47" s="64">
        <v>458.37200000000001</v>
      </c>
      <c r="K47" s="166">
        <f t="shared" si="8"/>
        <v>7.9004169517040285E-2</v>
      </c>
      <c r="L47" s="195">
        <f>'Datos IB'!C47</f>
        <v>22974.854286015136</v>
      </c>
      <c r="M47" s="274">
        <v>22576.498691661101</v>
      </c>
      <c r="N47" s="204">
        <f t="shared" si="9"/>
        <v>2.898131877043908E-2</v>
      </c>
      <c r="O47" s="287">
        <f>'Datos IB'!G47</f>
        <v>-1.1504451996862786E-2</v>
      </c>
      <c r="P47" s="187">
        <f>'Datos IB'!F47</f>
        <v>5.4838709677419439E-2</v>
      </c>
      <c r="Q47" s="203">
        <f t="shared" si="10"/>
        <v>5.8401916539113301E-2</v>
      </c>
      <c r="R47" s="171">
        <f t="shared" si="7"/>
        <v>7.733286388087425E-2</v>
      </c>
      <c r="S47" s="360">
        <v>7.6889622795385693E-2</v>
      </c>
      <c r="T47" s="54">
        <v>7.4479127822751123E-2</v>
      </c>
      <c r="U47" s="111">
        <v>3.5999999999999997E-2</v>
      </c>
    </row>
    <row r="48" spans="1:23" x14ac:dyDescent="0.25">
      <c r="A48" s="277" t="s">
        <v>38</v>
      </c>
      <c r="B48" s="64">
        <f>'Ingreso estructural no oil'!N46</f>
        <v>61645.224999999999</v>
      </c>
      <c r="C48" s="216">
        <f>'Balance Estructural'!R45</f>
        <v>-5.8792045996634457E-2</v>
      </c>
      <c r="D48" s="210">
        <f>'Datos CBE'!F43</f>
        <v>2968.7509815600047</v>
      </c>
      <c r="E48" s="64">
        <v>161.54300000000001</v>
      </c>
      <c r="F48" s="166">
        <f t="shared" si="6"/>
        <v>5.4414466219431169E-2</v>
      </c>
      <c r="G48" s="210">
        <f>'Datos CBE'!E43</f>
        <v>6305.7929999999997</v>
      </c>
      <c r="H48" s="210">
        <f t="shared" si="5"/>
        <v>9274.5439815600039</v>
      </c>
      <c r="I48" s="210"/>
      <c r="J48" s="64">
        <v>325.76499999999999</v>
      </c>
      <c r="K48" s="166">
        <f t="shared" si="8"/>
        <v>5.1661226430997659E-2</v>
      </c>
      <c r="L48" s="195">
        <f>'Datos IB'!C48</f>
        <v>22775.600726441782</v>
      </c>
      <c r="M48" s="274">
        <v>22684.757705559299</v>
      </c>
      <c r="N48" s="204">
        <f t="shared" si="9"/>
        <v>2.4605675669042704E-2</v>
      </c>
      <c r="O48" s="287">
        <f>'Datos IB'!G48</f>
        <v>-1.6233603361339388E-2</v>
      </c>
      <c r="P48" s="187">
        <f>'Datos IB'!F48</f>
        <v>3.4882090682219813E-2</v>
      </c>
      <c r="Q48" s="203">
        <f t="shared" si="10"/>
        <v>5.2965167081325648E-2</v>
      </c>
      <c r="R48" s="171">
        <f t="shared" ref="R48:R79" si="11">(((1+Q48)/(1+N48)-1)*((SUM(D48,G48))/B48))-C48</f>
        <v>6.295627691015282E-2</v>
      </c>
      <c r="S48" s="360">
        <v>6.2526775897427847E-2</v>
      </c>
      <c r="T48" s="54">
        <v>6.5561574868682179E-2</v>
      </c>
      <c r="U48" s="111">
        <v>2.1999999999999999E-2</v>
      </c>
    </row>
    <row r="49" spans="1:23" s="343" customFormat="1" x14ac:dyDescent="0.25">
      <c r="A49" s="332" t="s">
        <v>39</v>
      </c>
      <c r="B49" s="333">
        <f>'Ingreso estructural no oil'!N47</f>
        <v>62519.686000000002</v>
      </c>
      <c r="C49" s="334">
        <f>'Balance Estructural'!R46</f>
        <v>-5.9442947854724829E-2</v>
      </c>
      <c r="D49" s="333">
        <f>'Datos CBE'!F44</f>
        <v>2842.2429815600049</v>
      </c>
      <c r="E49" s="333">
        <v>180.39299999999997</v>
      </c>
      <c r="F49" s="335">
        <f t="shared" si="6"/>
        <v>6.346853564961176E-2</v>
      </c>
      <c r="G49" s="333">
        <f>'Datos CBE'!E44</f>
        <v>6213.7920000000004</v>
      </c>
      <c r="H49" s="333">
        <f t="shared" si="5"/>
        <v>9056.0349815600057</v>
      </c>
      <c r="I49" s="322">
        <f>H49/B49</f>
        <v>0.14485093513681443</v>
      </c>
      <c r="J49" s="333">
        <v>293.70299999999997</v>
      </c>
      <c r="K49" s="335">
        <f t="shared" si="8"/>
        <v>4.7266306950731529E-2</v>
      </c>
      <c r="L49" s="336">
        <f>'Datos IB'!C49</f>
        <v>22448.526272013361</v>
      </c>
      <c r="M49" s="337">
        <v>22796.069110336099</v>
      </c>
      <c r="N49" s="339">
        <f t="shared" si="9"/>
        <v>2.1684092349873119E-2</v>
      </c>
      <c r="O49" s="339">
        <f>'Datos IB'!G49</f>
        <v>1.4439337573878275E-2</v>
      </c>
      <c r="P49" s="338">
        <f>'Datos IB'!F49</f>
        <v>3.943881962457807E-2</v>
      </c>
      <c r="Q49" s="339">
        <f t="shared" si="10"/>
        <v>2.9459188005440711E-2</v>
      </c>
      <c r="R49" s="340">
        <f t="shared" si="11"/>
        <v>6.0545274772526615E-2</v>
      </c>
      <c r="S49" s="360">
        <v>5.9946509686040914E-2</v>
      </c>
      <c r="T49" s="341">
        <v>6.2373623526027655E-2</v>
      </c>
      <c r="U49" s="342">
        <v>1.0999999999999999E-2</v>
      </c>
      <c r="W49" s="343">
        <v>2009</v>
      </c>
    </row>
    <row r="50" spans="1:23" x14ac:dyDescent="0.25">
      <c r="A50" s="277" t="s">
        <v>40</v>
      </c>
      <c r="B50" s="64">
        <f>'Ingreso estructural no oil'!N48</f>
        <v>64260.311000000002</v>
      </c>
      <c r="C50" s="216">
        <f>'Balance Estructural'!R47</f>
        <v>-4.7192548073341389E-2</v>
      </c>
      <c r="D50" s="210">
        <f>'Datos CBE'!F45</f>
        <v>2838.2499815600049</v>
      </c>
      <c r="E50" s="64">
        <v>194.994</v>
      </c>
      <c r="F50" s="166">
        <f t="shared" si="6"/>
        <v>6.8702193699240063E-2</v>
      </c>
      <c r="G50" s="210">
        <f>'Datos CBE'!E45</f>
        <v>6767.7209999999995</v>
      </c>
      <c r="H50" s="210">
        <f t="shared" si="5"/>
        <v>9605.9709815600036</v>
      </c>
      <c r="I50" s="210"/>
      <c r="J50" s="64">
        <v>294.01300000000003</v>
      </c>
      <c r="K50" s="166">
        <f t="shared" si="8"/>
        <v>4.3443428001834004E-2</v>
      </c>
      <c r="L50" s="195">
        <f>'Datos IB'!C50</f>
        <v>22427.309401462411</v>
      </c>
      <c r="M50" s="274">
        <v>22926.559726690601</v>
      </c>
      <c r="N50" s="203">
        <f t="shared" si="9"/>
        <v>2.0951394384405075E-2</v>
      </c>
      <c r="O50" s="287">
        <f>'Datos IB'!G50</f>
        <v>2.3605248056348227E-2</v>
      </c>
      <c r="P50" s="187">
        <f>'Datos IB'!F50</f>
        <v>4.0272512499313295E-2</v>
      </c>
      <c r="Q50" s="203">
        <f t="shared" si="10"/>
        <v>2.1729179077333811E-2</v>
      </c>
      <c r="R50" s="171">
        <f t="shared" si="11"/>
        <v>4.7306429466783886E-2</v>
      </c>
      <c r="S50" s="360">
        <v>4.6797053904117446E-2</v>
      </c>
      <c r="T50" s="54">
        <v>4.9065320968813622E-2</v>
      </c>
      <c r="U50" s="111">
        <v>6.0000000000000001E-3</v>
      </c>
    </row>
    <row r="51" spans="1:23" x14ac:dyDescent="0.25">
      <c r="A51" s="277" t="s">
        <v>41</v>
      </c>
      <c r="B51" s="64">
        <f>'Ingreso estructural no oil'!N49</f>
        <v>65742.236999999994</v>
      </c>
      <c r="C51" s="216">
        <f>'Balance Estructural'!R48</f>
        <v>-6.3474089204749465E-2</v>
      </c>
      <c r="D51" s="210">
        <f>'Datos CBE'!F46</f>
        <v>3467.0244815600054</v>
      </c>
      <c r="E51" s="64">
        <v>189.42500000000001</v>
      </c>
      <c r="F51" s="166">
        <f t="shared" si="6"/>
        <v>5.463618760337316E-2</v>
      </c>
      <c r="G51" s="210">
        <f>'Datos CBE'!E46</f>
        <v>6981.4139999999998</v>
      </c>
      <c r="H51" s="210">
        <f t="shared" si="5"/>
        <v>10448.438481560006</v>
      </c>
      <c r="I51" s="210"/>
      <c r="J51" s="64">
        <v>283.04899999999998</v>
      </c>
      <c r="K51" s="166">
        <f t="shared" si="8"/>
        <v>4.0543219468147852E-2</v>
      </c>
      <c r="L51" s="195">
        <f>'Datos IB'!C51</f>
        <v>22540.885000784379</v>
      </c>
      <c r="M51" s="274">
        <v>23088.880684218901</v>
      </c>
      <c r="N51" s="204">
        <f t="shared" si="9"/>
        <v>2.2695370064050424E-2</v>
      </c>
      <c r="O51" s="287">
        <f>'Datos IB'!G51</f>
        <v>1.7677651608848377E-2</v>
      </c>
      <c r="P51" s="187">
        <f>'Datos IB'!F51</f>
        <v>3.2475440448161086E-2</v>
      </c>
      <c r="Q51" s="203">
        <f t="shared" si="10"/>
        <v>2.2135005890794958E-2</v>
      </c>
      <c r="R51" s="171">
        <f t="shared" si="11"/>
        <v>6.3387006685685865E-2</v>
      </c>
      <c r="S51" s="360">
        <v>6.2609921320402981E-2</v>
      </c>
      <c r="T51" s="54">
        <v>6.5081958722650726E-2</v>
      </c>
      <c r="U51" s="111">
        <v>-8.0000000000000002E-3</v>
      </c>
    </row>
    <row r="52" spans="1:23" x14ac:dyDescent="0.25">
      <c r="A52" s="277" t="s">
        <v>42</v>
      </c>
      <c r="B52" s="64">
        <f>'Ingreso estructural no oil'!N50</f>
        <v>67391.617999999988</v>
      </c>
      <c r="C52" s="216">
        <f>'Balance Estructural'!R49</f>
        <v>-6.2398420059763135E-2</v>
      </c>
      <c r="D52" s="210">
        <f>'Datos CBE'!F47</f>
        <v>4833.2151715600048</v>
      </c>
      <c r="E52" s="64">
        <v>188.501</v>
      </c>
      <c r="F52" s="166">
        <f t="shared" si="6"/>
        <v>3.9001160368193996E-2</v>
      </c>
      <c r="G52" s="210">
        <f>'Datos CBE'!E47</f>
        <v>7832.3490000000002</v>
      </c>
      <c r="H52" s="210">
        <f t="shared" si="5"/>
        <v>12665.564171560005</v>
      </c>
      <c r="I52" s="210"/>
      <c r="J52" s="64">
        <v>297.90700000000004</v>
      </c>
      <c r="K52" s="166">
        <f t="shared" si="8"/>
        <v>3.8035460370828729E-2</v>
      </c>
      <c r="L52" s="195">
        <f>'Datos IB'!C52</f>
        <v>22809.076628568768</v>
      </c>
      <c r="M52" s="274">
        <v>23290.69051525</v>
      </c>
      <c r="N52" s="204">
        <f t="shared" si="9"/>
        <v>2.6711010871507179E-2</v>
      </c>
      <c r="O52" s="287">
        <f>'Datos IB'!G52</f>
        <v>1.1756088968004619E-2</v>
      </c>
      <c r="P52" s="187">
        <f>'Datos IB'!F52</f>
        <v>3.5550093277110006E-2</v>
      </c>
      <c r="Q52" s="203">
        <f t="shared" si="10"/>
        <v>1.7333986437340798E-2</v>
      </c>
      <c r="R52" s="171">
        <f t="shared" si="11"/>
        <v>6.0681952957032617E-2</v>
      </c>
      <c r="S52" s="360">
        <v>5.9929671364702314E-2</v>
      </c>
      <c r="T52" s="54">
        <v>6.3233627101227277E-2</v>
      </c>
      <c r="U52" s="111">
        <v>5.0000000000000001E-3</v>
      </c>
    </row>
    <row r="53" spans="1:23" s="343" customFormat="1" x14ac:dyDescent="0.25">
      <c r="A53" s="332" t="s">
        <v>43</v>
      </c>
      <c r="B53" s="333">
        <f>'Ingreso estructural no oil'!N51</f>
        <v>69555.366999999998</v>
      </c>
      <c r="C53" s="334">
        <f>'Balance Estructural'!R50</f>
        <v>-7.3111919773216349E-2</v>
      </c>
      <c r="D53" s="333">
        <f>'Datos CBE'!F48</f>
        <v>4664.9857465600053</v>
      </c>
      <c r="E53" s="333">
        <v>224.20400000000001</v>
      </c>
      <c r="F53" s="335">
        <f t="shared" si="6"/>
        <v>4.8061025730963845E-2</v>
      </c>
      <c r="G53" s="333">
        <f>'Datos CBE'!E48</f>
        <v>7811.759</v>
      </c>
      <c r="H53" s="333">
        <f t="shared" si="5"/>
        <v>12476.744746560005</v>
      </c>
      <c r="I53" s="322">
        <f>H53/B53</f>
        <v>0.17937860563024569</v>
      </c>
      <c r="J53" s="333">
        <v>305.58100000000002</v>
      </c>
      <c r="K53" s="335">
        <f t="shared" si="8"/>
        <v>3.9118078271487895E-2</v>
      </c>
      <c r="L53" s="336">
        <f>'Datos IB'!C53</f>
        <v>23212.084494698622</v>
      </c>
      <c r="M53" s="337">
        <v>23534.167945270699</v>
      </c>
      <c r="N53" s="339">
        <f t="shared" si="9"/>
        <v>3.2378338184627431E-2</v>
      </c>
      <c r="O53" s="339">
        <f>'Datos IB'!G53</f>
        <v>1.2702480970181229E-2</v>
      </c>
      <c r="P53" s="338">
        <f>'Datos IB'!F53</f>
        <v>3.390436698119581E-2</v>
      </c>
      <c r="Q53" s="339">
        <f t="shared" si="10"/>
        <v>2.1451023344100428E-2</v>
      </c>
      <c r="R53" s="340">
        <f t="shared" si="11"/>
        <v>7.1213268448525435E-2</v>
      </c>
      <c r="S53" s="360">
        <v>7.0543755109124973E-2</v>
      </c>
      <c r="T53" s="341">
        <v>7.4323172874488877E-2</v>
      </c>
      <c r="U53" s="342">
        <v>1E-3</v>
      </c>
      <c r="W53" s="343">
        <v>2010</v>
      </c>
    </row>
    <row r="54" spans="1:23" x14ac:dyDescent="0.25">
      <c r="A54" s="277" t="s">
        <v>44</v>
      </c>
      <c r="B54" s="64">
        <f>'Ingreso estructural no oil'!N52</f>
        <v>71715.694000000003</v>
      </c>
      <c r="C54" s="216">
        <f>'Balance Estructural'!R51</f>
        <v>-9.1890506008705491E-2</v>
      </c>
      <c r="D54" s="210">
        <f>'Datos CBE'!F49</f>
        <v>4552.6920805600057</v>
      </c>
      <c r="E54" s="64">
        <v>224.56233618000002</v>
      </c>
      <c r="F54" s="166">
        <f t="shared" si="6"/>
        <v>4.9325175567853832E-2</v>
      </c>
      <c r="G54" s="210">
        <f>'Datos CBE'!E49</f>
        <v>8035.0379999999996</v>
      </c>
      <c r="H54" s="210">
        <f t="shared" si="5"/>
        <v>12587.730080560006</v>
      </c>
      <c r="I54" s="322">
        <f t="shared" ref="I54:I81" si="12">H54/B54</f>
        <v>0.17552266984350742</v>
      </c>
      <c r="J54" s="64">
        <v>324.23200000000003</v>
      </c>
      <c r="K54" s="166">
        <f t="shared" si="8"/>
        <v>4.035226715791513E-2</v>
      </c>
      <c r="L54" s="195">
        <f>'Datos IB'!C54</f>
        <v>23610.565567739053</v>
      </c>
      <c r="M54" s="274">
        <v>23816.675794615399</v>
      </c>
      <c r="N54" s="204">
        <f t="shared" si="9"/>
        <v>3.8824667919476141E-2</v>
      </c>
      <c r="O54" s="287">
        <f>'Datos IB'!G54</f>
        <v>2.1411269946348899E-2</v>
      </c>
      <c r="P54" s="187">
        <f>'Datos IB'!F54</f>
        <v>3.3828034224147041E-2</v>
      </c>
      <c r="Q54" s="203">
        <f t="shared" si="10"/>
        <v>1.7258587368034109E-2</v>
      </c>
      <c r="R54" s="171">
        <f t="shared" si="11"/>
        <v>8.8246641790472799E-2</v>
      </c>
      <c r="S54" s="360">
        <v>8.7474171342642543E-2</v>
      </c>
      <c r="T54" s="54">
        <v>9.187430851254956E-2</v>
      </c>
      <c r="U54" s="111">
        <v>8.9999999999999993E-3</v>
      </c>
    </row>
    <row r="55" spans="1:23" x14ac:dyDescent="0.25">
      <c r="A55" s="277" t="s">
        <v>45</v>
      </c>
      <c r="B55" s="64">
        <f>'Ingreso estructural no oil'!N53</f>
        <v>74373.013000000006</v>
      </c>
      <c r="C55" s="216">
        <f>'Balance Estructural'!R52</f>
        <v>-8.3571698174454645E-2</v>
      </c>
      <c r="D55" s="210">
        <f>'Datos CBE'!F50</f>
        <v>4371.2698595800057</v>
      </c>
      <c r="E55" s="64">
        <v>284.45991575000005</v>
      </c>
      <c r="F55" s="166">
        <f t="shared" si="6"/>
        <v>6.5074892396904352E-2</v>
      </c>
      <c r="G55" s="210">
        <f>'Datos CBE'!E50</f>
        <v>7918.5709999999999</v>
      </c>
      <c r="H55" s="210">
        <f t="shared" si="5"/>
        <v>12289.840859580007</v>
      </c>
      <c r="I55" s="322">
        <f t="shared" si="12"/>
        <v>0.16524597248171197</v>
      </c>
      <c r="J55" s="64">
        <v>332.91700000000003</v>
      </c>
      <c r="K55" s="166">
        <f t="shared" si="8"/>
        <v>4.204256045693093E-2</v>
      </c>
      <c r="L55" s="195">
        <f>'Datos IB'!C55</f>
        <v>24081.56784102715</v>
      </c>
      <c r="M55" s="274">
        <v>24132.356204165601</v>
      </c>
      <c r="N55" s="204">
        <f t="shared" si="9"/>
        <v>4.5193854748442064E-2</v>
      </c>
      <c r="O55" s="287">
        <f>'Datos IB'!G55</f>
        <v>3.4303953821130273E-2</v>
      </c>
      <c r="P55" s="187">
        <f>'Datos IB'!F55</f>
        <v>4.1309533170821089E-2</v>
      </c>
      <c r="Q55" s="203">
        <f t="shared" si="10"/>
        <v>1.2938323212968849E-2</v>
      </c>
      <c r="R55" s="171">
        <f t="shared" si="11"/>
        <v>7.8472073207967799E-2</v>
      </c>
      <c r="S55" s="360">
        <v>7.8288280794380868E-2</v>
      </c>
      <c r="T55" s="54">
        <v>8.309809978070648E-2</v>
      </c>
      <c r="U55" s="111">
        <v>2.4E-2</v>
      </c>
    </row>
    <row r="56" spans="1:23" x14ac:dyDescent="0.25">
      <c r="A56" s="277" t="s">
        <v>46</v>
      </c>
      <c r="B56" s="64">
        <f>'Ingreso estructural no oil'!N54</f>
        <v>76912.125</v>
      </c>
      <c r="C56" s="216">
        <f>'Balance Estructural'!R53</f>
        <v>-8.3433458562688231E-2</v>
      </c>
      <c r="D56" s="210">
        <f>'Datos CBE'!F51</f>
        <v>4482.466631830006</v>
      </c>
      <c r="E56" s="64">
        <v>284.50999443000001</v>
      </c>
      <c r="F56" s="166">
        <f t="shared" si="6"/>
        <v>6.3471748436384076E-2</v>
      </c>
      <c r="G56" s="210">
        <f>'Datos CBE'!E51</f>
        <v>7855.4219999999996</v>
      </c>
      <c r="H56" s="210">
        <f t="shared" si="5"/>
        <v>12337.888631830006</v>
      </c>
      <c r="I56" s="322">
        <f t="shared" si="12"/>
        <v>0.16041539135513427</v>
      </c>
      <c r="J56" s="64">
        <v>344.59499999999997</v>
      </c>
      <c r="K56" s="166">
        <f t="shared" si="8"/>
        <v>4.3867153158671804E-2</v>
      </c>
      <c r="L56" s="195">
        <f>'Datos IB'!C56</f>
        <v>24534.650140136084</v>
      </c>
      <c r="M56" s="274">
        <v>24473.2905568569</v>
      </c>
      <c r="N56" s="204">
        <f t="shared" si="9"/>
        <v>5.0775653939181042E-2</v>
      </c>
      <c r="O56" s="287">
        <f>'Datos IB'!G56</f>
        <v>3.7561739991019749E-2</v>
      </c>
      <c r="P56" s="187">
        <f>'Datos IB'!F56</f>
        <v>4.8911491675823537E-2</v>
      </c>
      <c r="Q56" s="203">
        <f t="shared" si="10"/>
        <v>8.9124657561781145E-3</v>
      </c>
      <c r="R56" s="171">
        <f t="shared" si="11"/>
        <v>7.7042465689400028E-2</v>
      </c>
      <c r="S56" s="360">
        <v>7.6944869063374222E-2</v>
      </c>
      <c r="T56" s="54">
        <v>8.2197062685149536E-2</v>
      </c>
      <c r="U56" s="111">
        <v>1.4E-2</v>
      </c>
    </row>
    <row r="57" spans="1:23" s="343" customFormat="1" x14ac:dyDescent="0.25">
      <c r="A57" s="332" t="s">
        <v>47</v>
      </c>
      <c r="B57" s="333">
        <f>'Ingreso estructural no oil'!N55</f>
        <v>79276.664000000004</v>
      </c>
      <c r="C57" s="334">
        <f>'Balance Estructural'!R54</f>
        <v>-8.0935576091467426E-2</v>
      </c>
      <c r="D57" s="333">
        <f>'Datos CBE'!F52</f>
        <v>4506.4472978300064</v>
      </c>
      <c r="E57" s="333">
        <v>315.73431378999999</v>
      </c>
      <c r="F57" s="335">
        <f t="shared" si="6"/>
        <v>7.0062799567640749E-2</v>
      </c>
      <c r="G57" s="333">
        <f>'Datos CBE'!E52</f>
        <v>9247.1409999999996</v>
      </c>
      <c r="H57" s="333">
        <f t="shared" si="5"/>
        <v>13753.588297830007</v>
      </c>
      <c r="I57" s="322">
        <f t="shared" si="12"/>
        <v>0.17348848455366395</v>
      </c>
      <c r="J57" s="333">
        <v>357.26099999999997</v>
      </c>
      <c r="K57" s="335">
        <f t="shared" si="8"/>
        <v>3.8634752081751537E-2</v>
      </c>
      <c r="L57" s="336">
        <f>'Datos IB'!C57</f>
        <v>24865.367100796175</v>
      </c>
      <c r="M57" s="337">
        <v>24831.052673582999</v>
      </c>
      <c r="N57" s="338">
        <f t="shared" si="9"/>
        <v>5.5106461861249567E-2</v>
      </c>
      <c r="O57" s="339">
        <f>'Datos IB'!G57</f>
        <v>3.2937765439863043E-2</v>
      </c>
      <c r="P57" s="338">
        <f>'Datos IB'!F57</f>
        <v>5.480203615863144E-2</v>
      </c>
      <c r="Q57" s="339">
        <f t="shared" si="10"/>
        <v>8.4486882251065525E-3</v>
      </c>
      <c r="R57" s="340">
        <f t="shared" si="11"/>
        <v>7.3263756485222972E-2</v>
      </c>
      <c r="S57" s="360">
        <v>7.3320373982506432E-2</v>
      </c>
      <c r="T57" s="341">
        <v>7.9528829517373695E-2</v>
      </c>
      <c r="U57" s="342">
        <v>1.2E-2</v>
      </c>
      <c r="W57" s="343">
        <v>2011</v>
      </c>
    </row>
    <row r="58" spans="1:23" x14ac:dyDescent="0.25">
      <c r="A58" s="277" t="s">
        <v>128</v>
      </c>
      <c r="B58" s="64">
        <f>'Ingreso estructural no oil'!N56</f>
        <v>81976.646000000008</v>
      </c>
      <c r="C58" s="216">
        <f>'Balance Estructural'!R55</f>
        <v>-7.9398505164674948E-2</v>
      </c>
      <c r="D58" s="210">
        <f>'Datos CBE'!F53</f>
        <v>4822.5425514900062</v>
      </c>
      <c r="E58" s="64">
        <v>318.26437483000001</v>
      </c>
      <c r="F58" s="166">
        <f>E58/D58</f>
        <v>6.5995140827045023E-2</v>
      </c>
      <c r="G58" s="210">
        <f>'Datos CBE'!E53</f>
        <v>9387.8870000000006</v>
      </c>
      <c r="H58" s="210">
        <f t="shared" si="5"/>
        <v>14210.429551490008</v>
      </c>
      <c r="I58" s="322">
        <f t="shared" si="12"/>
        <v>0.17334729151385392</v>
      </c>
      <c r="J58" s="64">
        <v>402.26123000000001</v>
      </c>
      <c r="K58" s="166">
        <f t="shared" si="8"/>
        <v>4.2848963776406769E-2</v>
      </c>
      <c r="L58" s="195">
        <f>'Datos IB'!C58</f>
        <v>25258.095085228204</v>
      </c>
      <c r="M58" s="274">
        <v>25197.830469669301</v>
      </c>
      <c r="N58" s="204">
        <f t="shared" si="9"/>
        <v>5.7991076796962693E-2</v>
      </c>
      <c r="O58" s="287">
        <f>'Datos IB'!G58</f>
        <v>2.8151922032965349E-2</v>
      </c>
      <c r="P58" s="187">
        <f>'Datos IB'!F58</f>
        <v>5.642545148024225E-2</v>
      </c>
      <c r="Q58" s="203">
        <f t="shared" si="10"/>
        <v>1.2517676259897012E-2</v>
      </c>
      <c r="R58" s="171">
        <f t="shared" si="11"/>
        <v>7.1947883895836298E-2</v>
      </c>
      <c r="S58" s="360">
        <v>7.2044844404173886E-2</v>
      </c>
      <c r="T58" s="54">
        <v>7.8659556822740603E-2</v>
      </c>
      <c r="U58" s="111">
        <v>8.9999999999999993E-3</v>
      </c>
    </row>
    <row r="59" spans="1:23" x14ac:dyDescent="0.25">
      <c r="A59" s="277" t="s">
        <v>49</v>
      </c>
      <c r="B59" s="64">
        <f>'Ingreso estructural no oil'!N57</f>
        <v>84157.376000000004</v>
      </c>
      <c r="C59" s="216">
        <f>'Balance Estructural'!R56</f>
        <v>-7.6236611621340392E-2</v>
      </c>
      <c r="D59" s="210">
        <f>'Datos CBE'!F54</f>
        <v>6115.6269731200055</v>
      </c>
      <c r="E59" s="64">
        <v>314.43293124000002</v>
      </c>
      <c r="F59" s="166">
        <f t="shared" si="6"/>
        <v>5.1414668131661075E-2</v>
      </c>
      <c r="G59" s="210">
        <f>'Datos CBE'!E54</f>
        <v>9174.3960000000006</v>
      </c>
      <c r="H59" s="210">
        <f t="shared" si="5"/>
        <v>15290.022973120005</v>
      </c>
      <c r="I59" s="322">
        <f t="shared" si="12"/>
        <v>0.18168369428628578</v>
      </c>
      <c r="J59" s="64">
        <v>430.30212899999998</v>
      </c>
      <c r="K59" s="166">
        <f t="shared" si="8"/>
        <v>4.6902502246469406E-2</v>
      </c>
      <c r="L59" s="195">
        <f>'Datos IB'!C59</f>
        <v>25626.355805641415</v>
      </c>
      <c r="M59" s="274">
        <v>25566.155333705301</v>
      </c>
      <c r="N59" s="204">
        <f t="shared" si="9"/>
        <v>5.941397174023999E-2</v>
      </c>
      <c r="O59" s="287">
        <f>'Datos IB'!G59</f>
        <v>1.889765176058833E-2</v>
      </c>
      <c r="P59" s="187">
        <f>'Datos IB'!F59</f>
        <v>5.0947718176554968E-2</v>
      </c>
      <c r="Q59" s="203">
        <f t="shared" si="10"/>
        <v>1.6669665376600314E-2</v>
      </c>
      <c r="R59" s="171">
        <f t="shared" si="11"/>
        <v>6.8906197168627281E-2</v>
      </c>
      <c r="S59" s="360">
        <v>6.9107542426881788E-2</v>
      </c>
      <c r="T59" s="54">
        <v>7.63155541168863E-2</v>
      </c>
      <c r="U59" s="111">
        <v>8.0000000000000002E-3</v>
      </c>
    </row>
    <row r="60" spans="1:23" x14ac:dyDescent="0.25">
      <c r="A60" s="277" t="s">
        <v>179</v>
      </c>
      <c r="B60" s="64">
        <f>'Ingreso estructural no oil'!N58</f>
        <v>86295.843000000008</v>
      </c>
      <c r="C60" s="347">
        <f>'Balance Estructural'!R57</f>
        <v>-7.4092724543996208E-2</v>
      </c>
      <c r="D60" s="210">
        <f>'Datos CBE'!F55</f>
        <v>6531.0316961200051</v>
      </c>
      <c r="E60" s="64">
        <v>328.4179005785341</v>
      </c>
      <c r="F60" s="166">
        <f t="shared" si="6"/>
        <v>5.0285761248661923E-2</v>
      </c>
      <c r="G60" s="210">
        <f>'Datos CBE'!E55</f>
        <v>9792.1560000000009</v>
      </c>
      <c r="H60" s="210">
        <f t="shared" si="5"/>
        <v>16323.187696120007</v>
      </c>
      <c r="I60" s="322">
        <f t="shared" si="12"/>
        <v>0.18915381238143772</v>
      </c>
      <c r="J60" s="64">
        <v>454.58311600000002</v>
      </c>
      <c r="K60" s="166">
        <f t="shared" si="8"/>
        <v>4.6423189744934618E-2</v>
      </c>
      <c r="L60" s="195">
        <f>'Datos IB'!C60</f>
        <v>25936.428208385558</v>
      </c>
      <c r="M60" s="274">
        <v>25929.161349583599</v>
      </c>
      <c r="N60" s="204">
        <f t="shared" si="9"/>
        <v>5.948815053473866E-2</v>
      </c>
      <c r="O60" s="287">
        <f>'Datos IB'!G60</f>
        <v>1.6977843722584263E-2</v>
      </c>
      <c r="P60" s="187">
        <f>'Datos IB'!F60</f>
        <v>5.0678056495851109E-2</v>
      </c>
      <c r="Q60" s="203">
        <f t="shared" si="10"/>
        <v>1.7219758629208558E-2</v>
      </c>
      <c r="R60" s="227">
        <f t="shared" si="11"/>
        <v>6.654641317833497E-2</v>
      </c>
      <c r="S60" s="361">
        <v>6.6710707332022265E-2</v>
      </c>
      <c r="T60" s="54">
        <v>7.4318954746427232E-2</v>
      </c>
      <c r="U60" s="111">
        <v>7.0000000000000001E-3</v>
      </c>
    </row>
    <row r="61" spans="1:23" s="343" customFormat="1" x14ac:dyDescent="0.25">
      <c r="A61" s="332" t="s">
        <v>180</v>
      </c>
      <c r="B61" s="333">
        <f>'Ingreso estructural no oil'!N59</f>
        <v>87924.544000000009</v>
      </c>
      <c r="C61" s="334">
        <f>'Balance Estructural'!R58</f>
        <v>-7.7648268292430253E-2</v>
      </c>
      <c r="D61" s="333">
        <f>'Datos CBE'!F56</f>
        <v>7780.502439120005</v>
      </c>
      <c r="E61" s="333">
        <v>363.01178968450131</v>
      </c>
      <c r="F61" s="335">
        <f t="shared" si="6"/>
        <v>4.6656599946462957E-2</v>
      </c>
      <c r="G61" s="333">
        <f>'Datos CBE'!E56</f>
        <v>9948.634</v>
      </c>
      <c r="H61" s="333">
        <f t="shared" si="5"/>
        <v>17729.136439120004</v>
      </c>
      <c r="I61" s="322">
        <f t="shared" si="12"/>
        <v>0.20164035697609078</v>
      </c>
      <c r="J61" s="333">
        <v>464.877745</v>
      </c>
      <c r="K61" s="335">
        <f t="shared" si="8"/>
        <v>4.6727796499499326E-2</v>
      </c>
      <c r="L61" s="336">
        <f>'Datos IB'!C61</f>
        <v>26225.589106047952</v>
      </c>
      <c r="M61" s="337">
        <v>26280.58504786</v>
      </c>
      <c r="N61" s="339">
        <f t="shared" si="9"/>
        <v>5.8375792332763909E-2</v>
      </c>
      <c r="O61" s="339">
        <f>'Datos IB'!G61</f>
        <v>1.8893653908242936E-2</v>
      </c>
      <c r="P61" s="338">
        <f>'Datos IB'!F61</f>
        <v>4.6255901298221103E-2</v>
      </c>
      <c r="Q61" s="339">
        <f t="shared" si="10"/>
        <v>1.5497463402013264E-2</v>
      </c>
      <c r="R61" s="340">
        <f t="shared" si="11"/>
        <v>6.9479145741849074E-2</v>
      </c>
      <c r="S61" s="360">
        <v>7.0524604807614147E-2</v>
      </c>
      <c r="T61" s="341">
        <v>7.8581655560980068E-2</v>
      </c>
      <c r="U61" s="342">
        <v>6.0000000000000001E-3</v>
      </c>
      <c r="W61" s="343">
        <v>2012</v>
      </c>
    </row>
    <row r="62" spans="1:23" x14ac:dyDescent="0.25">
      <c r="A62" s="277" t="s">
        <v>181</v>
      </c>
      <c r="B62" s="64">
        <f>'Ingreso estructural no oil'!N60</f>
        <v>89321.393000000011</v>
      </c>
      <c r="C62" s="216">
        <f>'Balance Estructural'!R59</f>
        <v>-8.0895232631406258E-2</v>
      </c>
      <c r="D62" s="210">
        <f>'Datos CBE'!F57</f>
        <v>7866.2972901200064</v>
      </c>
      <c r="E62" s="64">
        <v>379.59456795657849</v>
      </c>
      <c r="F62" s="166">
        <f>E62/D62</f>
        <v>4.8255812608728327E-2</v>
      </c>
      <c r="G62" s="210">
        <f>'Datos CBE'!E57</f>
        <v>11403.307000000001</v>
      </c>
      <c r="H62" s="210">
        <f t="shared" si="5"/>
        <v>19269.604290120005</v>
      </c>
      <c r="I62" s="322">
        <f t="shared" si="12"/>
        <v>0.2157333606532536</v>
      </c>
      <c r="J62" s="64">
        <v>492.16781599999996</v>
      </c>
      <c r="K62" s="166">
        <f t="shared" si="8"/>
        <v>4.3160095225007966E-2</v>
      </c>
      <c r="L62" s="195">
        <f>'Datos IB'!C62</f>
        <v>26569.251328073897</v>
      </c>
      <c r="M62" s="274">
        <v>26614.235345594399</v>
      </c>
      <c r="N62" s="204">
        <f t="shared" si="9"/>
        <v>5.6211382072358429E-2</v>
      </c>
      <c r="O62" s="287">
        <f>'Datos IB'!G62</f>
        <v>1.6818288188147346E-2</v>
      </c>
      <c r="P62" s="187">
        <f>'Datos IB'!F62</f>
        <v>3.5312141270229969E-2</v>
      </c>
      <c r="Q62" s="203">
        <f t="shared" si="10"/>
        <v>2.0434321679999708E-2</v>
      </c>
      <c r="R62" s="171">
        <f t="shared" si="11"/>
        <v>7.3587694004437376E-2</v>
      </c>
      <c r="S62" s="360">
        <v>7.4375407737074448E-2</v>
      </c>
      <c r="T62" s="54">
        <v>8.2717864279222827E-2</v>
      </c>
      <c r="U62" s="111">
        <v>1.2999999999999999E-2</v>
      </c>
    </row>
    <row r="63" spans="1:23" x14ac:dyDescent="0.25">
      <c r="A63" s="277" t="s">
        <v>182</v>
      </c>
      <c r="B63" s="64">
        <f>'Ingreso estructural no oil'!N61</f>
        <v>90853.872999999992</v>
      </c>
      <c r="C63" s="216">
        <f>'Balance Estructural'!R60</f>
        <v>-8.0025156007758974E-2</v>
      </c>
      <c r="D63" s="210">
        <f>'Datos CBE'!F58</f>
        <v>8418.6961721200059</v>
      </c>
      <c r="E63" s="64">
        <v>457.90342450430683</v>
      </c>
      <c r="F63" s="166">
        <f t="shared" ref="F63:F68" si="13">E63/D63</f>
        <v>5.439125194002542E-2</v>
      </c>
      <c r="G63" s="210">
        <f>'Datos CBE'!E58</f>
        <v>11621.047</v>
      </c>
      <c r="H63" s="210">
        <f t="shared" si="5"/>
        <v>20039.743172120005</v>
      </c>
      <c r="I63" s="322">
        <f t="shared" si="12"/>
        <v>0.22057114914759887</v>
      </c>
      <c r="J63" s="64">
        <v>549.36397799999997</v>
      </c>
      <c r="K63" s="166">
        <f t="shared" si="8"/>
        <v>4.7273191305396145E-2</v>
      </c>
      <c r="L63" s="196">
        <f>'Datos IB'!C63</f>
        <v>26939.998678805816</v>
      </c>
      <c r="M63" s="274">
        <v>26923.371309368002</v>
      </c>
      <c r="N63" s="204">
        <f t="shared" si="9"/>
        <v>5.3086432353534496E-2</v>
      </c>
      <c r="O63" s="287">
        <f>'Datos IB'!G63</f>
        <v>1.3928497863291422E-2</v>
      </c>
      <c r="P63" s="187">
        <f>'Datos IB'!F63</f>
        <v>2.9029841549076174E-2</v>
      </c>
      <c r="Q63" s="203">
        <f t="shared" si="10"/>
        <v>2.9424718382446317E-2</v>
      </c>
      <c r="R63" s="171">
        <f t="shared" si="11"/>
        <v>7.5069160677213684E-2</v>
      </c>
      <c r="S63" s="360">
        <v>7.5080995948857449E-2</v>
      </c>
      <c r="T63" s="54">
        <v>8.3345093225543773E-2</v>
      </c>
      <c r="U63" s="111">
        <v>0.02</v>
      </c>
    </row>
    <row r="64" spans="1:23" x14ac:dyDescent="0.25">
      <c r="A64" s="277" t="s">
        <v>183</v>
      </c>
      <c r="B64" s="64">
        <f>'Ingreso estructural no oil'!N62</f>
        <v>92985.512000000002</v>
      </c>
      <c r="C64" s="216">
        <f>'Balance Estructural'!R61</f>
        <v>-8.6455352125517637E-2</v>
      </c>
      <c r="D64" s="210">
        <f>'Datos CBE'!F59</f>
        <v>8744.9517211200055</v>
      </c>
      <c r="E64" s="64">
        <v>472.08790604060857</v>
      </c>
      <c r="F64" s="166">
        <f t="shared" si="13"/>
        <v>5.3984049437398852E-2</v>
      </c>
      <c r="G64" s="210">
        <f>'Datos CBE'!E59</f>
        <v>11626.6</v>
      </c>
      <c r="H64" s="210">
        <f t="shared" si="5"/>
        <v>20371.551721120006</v>
      </c>
      <c r="I64" s="322">
        <f t="shared" si="12"/>
        <v>0.21908307308261105</v>
      </c>
      <c r="J64" s="64">
        <v>602.261303</v>
      </c>
      <c r="K64" s="166">
        <f t="shared" si="8"/>
        <v>5.1800294411091803E-2</v>
      </c>
      <c r="L64" s="196">
        <f>'Datos IB'!C64</f>
        <v>27306.363217606442</v>
      </c>
      <c r="M64" s="274">
        <v>27200.802652306302</v>
      </c>
      <c r="N64" s="204">
        <f t="shared" si="9"/>
        <v>4.9042901371861181E-2</v>
      </c>
      <c r="O64" s="287">
        <f>'Datos IB'!G64</f>
        <v>1.5241210612398692E-2</v>
      </c>
      <c r="P64" s="187">
        <f>'Datos IB'!F64</f>
        <v>2.1206933052587473E-2</v>
      </c>
      <c r="Q64" s="203">
        <f t="shared" si="10"/>
        <v>3.4330158623450249E-2</v>
      </c>
      <c r="R64" s="171">
        <f t="shared" si="11"/>
        <v>8.3382729556335244E-2</v>
      </c>
      <c r="S64" s="360">
        <v>8.312253121630625E-2</v>
      </c>
      <c r="T64" s="54">
        <v>9.1128860943880063E-2</v>
      </c>
      <c r="U64" s="111">
        <v>2.3E-2</v>
      </c>
    </row>
    <row r="65" spans="1:23" s="343" customFormat="1" x14ac:dyDescent="0.25">
      <c r="A65" s="332" t="s">
        <v>184</v>
      </c>
      <c r="B65" s="333">
        <f>'Ingreso estructural no oil'!N63</f>
        <v>95129.659</v>
      </c>
      <c r="C65" s="334">
        <f>'Balance Estructural'!R62</f>
        <v>-9.5255038070302514E-2</v>
      </c>
      <c r="D65" s="333">
        <f>'Datos CBE'!F60</f>
        <v>9926.5837172900046</v>
      </c>
      <c r="E65" s="333">
        <v>516.30126501343477</v>
      </c>
      <c r="F65" s="335">
        <f t="shared" si="13"/>
        <v>5.2011979117664357E-2</v>
      </c>
      <c r="G65" s="333">
        <f>'Datos CBE'!E60</f>
        <v>11936.852000000001</v>
      </c>
      <c r="H65" s="333">
        <f t="shared" si="5"/>
        <v>21863.435717290005</v>
      </c>
      <c r="I65" s="322">
        <f t="shared" si="12"/>
        <v>0.22982775242881934</v>
      </c>
      <c r="J65" s="333">
        <v>652.30861800000002</v>
      </c>
      <c r="K65" s="335">
        <f t="shared" si="8"/>
        <v>5.4646620231196631E-2</v>
      </c>
      <c r="L65" s="336">
        <f>'Datos IB'!C65</f>
        <v>27717.791283158469</v>
      </c>
      <c r="M65" s="337">
        <v>27439.5053744408</v>
      </c>
      <c r="N65" s="338">
        <f t="shared" si="9"/>
        <v>4.409796526486276E-2</v>
      </c>
      <c r="O65" s="339">
        <f>'Datos IB'!G65</f>
        <v>1.6132789496756672E-2</v>
      </c>
      <c r="P65" s="338">
        <f>'Datos IB'!F65</f>
        <v>2.3483972674674503E-2</v>
      </c>
      <c r="Q65" s="339">
        <f t="shared" si="10"/>
        <v>3.3348956831052476E-2</v>
      </c>
      <c r="R65" s="340">
        <f t="shared" si="11"/>
        <v>9.2888956982734888E-2</v>
      </c>
      <c r="S65" s="360">
        <v>9.1506140969027247E-2</v>
      </c>
      <c r="T65" s="341">
        <v>9.9482261540113956E-2</v>
      </c>
      <c r="U65" s="342">
        <v>3.5000000000000003E-2</v>
      </c>
      <c r="W65" s="343">
        <v>2013</v>
      </c>
    </row>
    <row r="66" spans="1:23" x14ac:dyDescent="0.25">
      <c r="A66" s="277" t="s">
        <v>185</v>
      </c>
      <c r="B66" s="64">
        <f>'Ingreso estructural no oil'!N64</f>
        <v>96941.365000000005</v>
      </c>
      <c r="C66" s="216">
        <f>'Balance Estructural'!R63</f>
        <v>-9.2788883851704002E-2</v>
      </c>
      <c r="D66" s="210">
        <f>'Datos CBE'!F61</f>
        <v>10869.743882150004</v>
      </c>
      <c r="E66" s="64">
        <v>543.00317854572472</v>
      </c>
      <c r="F66" s="166">
        <f t="shared" si="13"/>
        <v>4.9955471300241923E-2</v>
      </c>
      <c r="G66" s="210">
        <f>'Datos CBE'!E61</f>
        <v>11916.379000000001</v>
      </c>
      <c r="H66" s="210">
        <f t="shared" si="5"/>
        <v>22786.122882150004</v>
      </c>
      <c r="I66" s="322">
        <f t="shared" si="12"/>
        <v>0.23505056775453909</v>
      </c>
      <c r="J66" s="64">
        <v>705.43666437000002</v>
      </c>
      <c r="K66" s="166">
        <f t="shared" si="8"/>
        <v>5.9198911378196342E-2</v>
      </c>
      <c r="L66" s="196">
        <f>'Datos IB'!C66</f>
        <v>27843.857930759907</v>
      </c>
      <c r="M66" s="274">
        <v>27633.5114492801</v>
      </c>
      <c r="N66" s="204">
        <f t="shared" si="9"/>
        <v>3.8298154745010526E-2</v>
      </c>
      <c r="O66" s="287">
        <f>'Datos IB'!G66</f>
        <v>1.4068948058093778E-2</v>
      </c>
      <c r="P66" s="187">
        <f>'Datos IB'!F66</f>
        <v>3.4747148912376957E-2</v>
      </c>
      <c r="Q66" s="203">
        <f t="shared" si="10"/>
        <v>3.0285276131699464E-2</v>
      </c>
      <c r="R66" s="171">
        <f t="shared" si="11"/>
        <v>9.0974923517863751E-2</v>
      </c>
      <c r="S66" s="360">
        <v>9.0266286489017175E-2</v>
      </c>
      <c r="T66" s="54">
        <v>9.7539093682620398E-2</v>
      </c>
      <c r="U66" s="111">
        <v>4.7E-2</v>
      </c>
    </row>
    <row r="67" spans="1:23" x14ac:dyDescent="0.25">
      <c r="A67" s="277" t="s">
        <v>186</v>
      </c>
      <c r="B67" s="64">
        <f>'Ingreso estructural no oil'!N65</f>
        <v>99043.320999999996</v>
      </c>
      <c r="C67" s="216">
        <f>'Balance Estructural'!R64</f>
        <v>-9.0091058184507494E-2</v>
      </c>
      <c r="D67" s="210">
        <f>'Datos CBE'!F62</f>
        <v>11295.032799150003</v>
      </c>
      <c r="E67" s="64">
        <v>590.18221634196993</v>
      </c>
      <c r="F67" s="166">
        <f t="shared" si="13"/>
        <v>5.2251483181738397E-2</v>
      </c>
      <c r="G67" s="210">
        <f>'Datos CBE'!E62</f>
        <v>14169.716</v>
      </c>
      <c r="H67" s="210">
        <f t="shared" si="5"/>
        <v>25464.748799150002</v>
      </c>
      <c r="I67" s="322">
        <f t="shared" si="12"/>
        <v>0.25710717837450142</v>
      </c>
      <c r="J67" s="64">
        <v>652.27889410506009</v>
      </c>
      <c r="K67" s="166">
        <f t="shared" si="8"/>
        <v>4.6033307520423138E-2</v>
      </c>
      <c r="L67" s="196">
        <f>'Datos IB'!C67</f>
        <v>27943.900151418165</v>
      </c>
      <c r="M67" s="274">
        <v>27779.6357965885</v>
      </c>
      <c r="N67" s="204">
        <f t="shared" si="9"/>
        <v>3.1803761771935335E-2</v>
      </c>
      <c r="O67" s="287">
        <f>'Datos IB'!G67</f>
        <v>2.0486995336061131E-2</v>
      </c>
      <c r="P67" s="187">
        <f>'Datos IB'!F67</f>
        <v>3.4962531466413038E-2</v>
      </c>
      <c r="Q67" s="203">
        <f t="shared" si="10"/>
        <v>2.1339278445013498E-2</v>
      </c>
      <c r="R67" s="171">
        <f t="shared" si="11"/>
        <v>8.7483494730085265E-2</v>
      </c>
      <c r="S67" s="360">
        <v>8.6345288119817343E-2</v>
      </c>
      <c r="T67" s="54">
        <v>9.3279983834928734E-2</v>
      </c>
      <c r="U67" s="111">
        <v>4.9000000000000002E-2</v>
      </c>
    </row>
    <row r="68" spans="1:23" x14ac:dyDescent="0.25">
      <c r="A68" s="277" t="s">
        <v>187</v>
      </c>
      <c r="B68" s="64">
        <f>'Ingreso estructural no oil'!N66</f>
        <v>100747.659</v>
      </c>
      <c r="C68" s="216">
        <f>'Balance Estructural'!R65</f>
        <v>-8.9308352583702663E-2</v>
      </c>
      <c r="D68" s="210">
        <f>'Datos CBE'!F63</f>
        <v>11279.644629150001</v>
      </c>
      <c r="E68" s="64">
        <v>631.67917489032118</v>
      </c>
      <c r="F68" s="166">
        <f t="shared" si="13"/>
        <v>5.6001691157704724E-2</v>
      </c>
      <c r="G68" s="210">
        <f>'Datos CBE'!E63</f>
        <v>14728.159</v>
      </c>
      <c r="H68" s="210">
        <f t="shared" si="5"/>
        <v>26007.803629150003</v>
      </c>
      <c r="I68" s="322">
        <f t="shared" si="12"/>
        <v>0.25814796976225524</v>
      </c>
      <c r="J68" s="64">
        <v>669.54846547000011</v>
      </c>
      <c r="K68" s="166">
        <f t="shared" si="8"/>
        <v>4.5460431644579621E-2</v>
      </c>
      <c r="L68" s="196">
        <f>'Datos IB'!C68</f>
        <v>28097.885395924721</v>
      </c>
      <c r="M68" s="274">
        <v>27876.797221637298</v>
      </c>
      <c r="N68" s="204">
        <f t="shared" si="9"/>
        <v>2.4852008154754968E-2</v>
      </c>
      <c r="O68" s="287">
        <f>'Datos IB'!G68</f>
        <v>1.8220181916683176E-2</v>
      </c>
      <c r="P68" s="187">
        <f>'Datos IB'!F68</f>
        <v>4.6470819057281565E-2</v>
      </c>
      <c r="Q68" s="203">
        <f t="shared" si="10"/>
        <v>1.9100055124773523E-2</v>
      </c>
      <c r="R68" s="171">
        <f t="shared" si="11"/>
        <v>8.785950437435873E-2</v>
      </c>
      <c r="S68" s="360">
        <v>8.6408514252375085E-2</v>
      </c>
      <c r="T68" s="167">
        <v>9.230277627978975E-2</v>
      </c>
      <c r="U68" s="111">
        <v>4.9000000000000002E-2</v>
      </c>
    </row>
    <row r="69" spans="1:23" s="343" customFormat="1" x14ac:dyDescent="0.25">
      <c r="A69" s="332" t="s">
        <v>188</v>
      </c>
      <c r="B69" s="333">
        <f>'Ingreso estructural no oil'!N67</f>
        <v>101726.33100000001</v>
      </c>
      <c r="C69" s="334">
        <f>'Balance Estructural'!R66</f>
        <v>-8.8523050977178705E-2</v>
      </c>
      <c r="D69" s="333">
        <f>'Datos CBE'!F64</f>
        <v>12558.316293150001</v>
      </c>
      <c r="E69" s="333">
        <v>681.96836793152784</v>
      </c>
      <c r="F69" s="335">
        <f t="shared" ref="F69:F79" si="14">E69/D69</f>
        <v>5.4304124216357809E-2</v>
      </c>
      <c r="G69" s="333">
        <f>'Datos CBE'!E64</f>
        <v>15574.382</v>
      </c>
      <c r="H69" s="333">
        <f t="shared" si="5"/>
        <v>28132.698293150002</v>
      </c>
      <c r="I69" s="322">
        <f t="shared" si="12"/>
        <v>0.27655276678709667</v>
      </c>
      <c r="J69" s="333">
        <v>714.35530552900002</v>
      </c>
      <c r="K69" s="335">
        <f t="shared" si="8"/>
        <v>4.5867329151744192E-2</v>
      </c>
      <c r="L69" s="336">
        <f>'Datos IB'!C69</f>
        <v>28157.375363419327</v>
      </c>
      <c r="M69" s="337">
        <v>27925.5571717321</v>
      </c>
      <c r="N69" s="338">
        <f t="shared" si="9"/>
        <v>1.7713577218634757E-2</v>
      </c>
      <c r="O69" s="339">
        <f>'Datos IB'!G69</f>
        <v>8.7015459447608023E-3</v>
      </c>
      <c r="P69" s="338">
        <f>'Datos IB'!F69</f>
        <v>3.9438514001034264E-2</v>
      </c>
      <c r="Q69" s="339">
        <f t="shared" si="10"/>
        <v>2.6781808334139699E-2</v>
      </c>
      <c r="R69" s="340">
        <f t="shared" si="11"/>
        <v>9.0987245678905648E-2</v>
      </c>
      <c r="S69" s="360">
        <v>8.9374531120304732E-2</v>
      </c>
      <c r="T69" s="344">
        <v>9.4528727456154274E-2</v>
      </c>
      <c r="U69" s="342">
        <v>5.1999999999999998E-2</v>
      </c>
      <c r="W69" s="343">
        <v>2014</v>
      </c>
    </row>
    <row r="70" spans="1:23" x14ac:dyDescent="0.25">
      <c r="A70" s="277" t="s">
        <v>144</v>
      </c>
      <c r="B70" s="64">
        <f>'Ingreso estructural no oil'!N68</f>
        <v>101947.57800000001</v>
      </c>
      <c r="C70" s="216">
        <f>'Balance Estructural'!R67</f>
        <v>-9.0064106823883022E-2</v>
      </c>
      <c r="D70" s="210">
        <f>'Datos CBE'!F65</f>
        <v>12630.708787150001</v>
      </c>
      <c r="E70" s="64">
        <v>721.40229327863005</v>
      </c>
      <c r="F70" s="166">
        <f t="shared" si="14"/>
        <v>5.7114949401141854E-2</v>
      </c>
      <c r="G70" s="211">
        <f>'Datos CBE'!E65</f>
        <v>17158.599999999999</v>
      </c>
      <c r="H70" s="210">
        <f t="shared" si="5"/>
        <v>29789.308787149999</v>
      </c>
      <c r="I70" s="322">
        <f t="shared" si="12"/>
        <v>0.29220222168642396</v>
      </c>
      <c r="J70" s="64">
        <v>765.18414189000009</v>
      </c>
      <c r="K70" s="166">
        <f t="shared" si="8"/>
        <v>4.4594788729266963E-2</v>
      </c>
      <c r="L70" s="197">
        <f>'Datos IB'!C70</f>
        <v>28358.106419845255</v>
      </c>
      <c r="M70" s="274">
        <v>27928.688121962001</v>
      </c>
      <c r="N70" s="204">
        <f t="shared" si="9"/>
        <v>1.0681837276586448E-2</v>
      </c>
      <c r="O70" s="287">
        <f>'Datos IB'!G70</f>
        <v>-7.0921985815597388E-4</v>
      </c>
      <c r="P70" s="187">
        <f>'Datos IB'!F70</f>
        <v>3.78E-2</v>
      </c>
      <c r="Q70" s="203">
        <f t="shared" si="10"/>
        <v>3.4004841017617249E-2</v>
      </c>
      <c r="R70" s="171">
        <f t="shared" si="11"/>
        <v>9.6807112642503398E-2</v>
      </c>
      <c r="S70" s="360">
        <v>9.509466697713248E-2</v>
      </c>
      <c r="T70" s="167">
        <v>0.13386488360015639</v>
      </c>
      <c r="U70" s="111">
        <v>5.8000000000000003E-2</v>
      </c>
    </row>
    <row r="71" spans="1:23" x14ac:dyDescent="0.25">
      <c r="A71" s="277" t="s">
        <v>147</v>
      </c>
      <c r="B71" s="64">
        <f>'Ingreso estructural no oil'!N69</f>
        <v>101490.49300000002</v>
      </c>
      <c r="C71" s="347">
        <f>'Balance Estructural'!R68</f>
        <v>-8.6341234700942085E-2</v>
      </c>
      <c r="D71" s="210">
        <f>'Datos CBE'!F66</f>
        <v>12303.7</v>
      </c>
      <c r="E71" s="64">
        <v>747.4670089140136</v>
      </c>
      <c r="F71" s="166">
        <f t="shared" si="14"/>
        <v>6.0751400709868862E-2</v>
      </c>
      <c r="G71" s="210">
        <f>'Datos CBE'!E66</f>
        <v>18024.900000000001</v>
      </c>
      <c r="H71" s="210">
        <f t="shared" si="5"/>
        <v>30328.600000000002</v>
      </c>
      <c r="I71" s="322">
        <f t="shared" si="12"/>
        <v>0.29883193098687577</v>
      </c>
      <c r="J71" s="64">
        <v>858.70503912493996</v>
      </c>
      <c r="K71" s="166">
        <f t="shared" si="8"/>
        <v>4.7639933598796105E-2</v>
      </c>
      <c r="L71" s="197">
        <f>'Datos IB'!C71</f>
        <v>28264.927184829598</v>
      </c>
      <c r="M71" s="274">
        <v>27891.280975698799</v>
      </c>
      <c r="N71" s="203">
        <f t="shared" si="9"/>
        <v>4.0189576252116499E-3</v>
      </c>
      <c r="O71" s="287">
        <f>'Datos IB'!G71</f>
        <v>-4.2058040095327431E-4</v>
      </c>
      <c r="P71" s="187">
        <f>'Datos IB'!F71</f>
        <v>4.58E-2</v>
      </c>
      <c r="Q71" s="203">
        <f t="shared" si="10"/>
        <v>3.4375201153537642E-2</v>
      </c>
      <c r="R71" s="227">
        <f t="shared" si="11"/>
        <v>9.5376337875222719E-2</v>
      </c>
      <c r="S71" s="361">
        <v>9.3661893637707064E-2</v>
      </c>
      <c r="T71" s="167">
        <v>6.2051827936973544E-2</v>
      </c>
      <c r="U71" s="111">
        <v>0.1</v>
      </c>
    </row>
    <row r="72" spans="1:23" x14ac:dyDescent="0.25">
      <c r="A72" s="277" t="s">
        <v>148</v>
      </c>
      <c r="B72" s="64">
        <f>'Ingreso estructural no oil'!N70</f>
        <v>100327.317</v>
      </c>
      <c r="C72" s="216">
        <f>'Balance Estructural'!R69</f>
        <v>-6.3538348701224739E-2</v>
      </c>
      <c r="D72" s="210">
        <f>'Datos CBE'!F67</f>
        <v>12109.481808750004</v>
      </c>
      <c r="E72" s="64">
        <v>778.05856077639783</v>
      </c>
      <c r="F72" s="166">
        <f t="shared" si="14"/>
        <v>6.425201119788565E-2</v>
      </c>
      <c r="G72" s="210">
        <f>'Datos CBE'!E67</f>
        <v>20179.969000000001</v>
      </c>
      <c r="H72" s="210">
        <f t="shared" si="5"/>
        <v>32289.450808750007</v>
      </c>
      <c r="I72" s="322">
        <f t="shared" si="12"/>
        <v>0.32184106756039343</v>
      </c>
      <c r="J72" s="64">
        <v>967.02597727</v>
      </c>
      <c r="K72" s="166">
        <f t="shared" si="8"/>
        <v>4.7920092308863307E-2</v>
      </c>
      <c r="L72" s="197">
        <f>'Datos IB'!C72</f>
        <v>28006.856212403611</v>
      </c>
      <c r="M72" s="274">
        <v>27822.720755094699</v>
      </c>
      <c r="N72" s="204">
        <f t="shared" si="9"/>
        <v>-1.9398378555707252E-3</v>
      </c>
      <c r="O72" s="287">
        <f>'Datos IB'!G72</f>
        <v>9.8011761411354037E-4</v>
      </c>
      <c r="P72" s="187">
        <f>'Datos IB'!F72</f>
        <v>4.0933333333333329E-2</v>
      </c>
      <c r="Q72" s="203">
        <f t="shared" si="10"/>
        <v>3.7708684924867633E-2</v>
      </c>
      <c r="R72" s="171">
        <f t="shared" si="11"/>
        <v>7.6323673056253247E-2</v>
      </c>
      <c r="S72" s="360">
        <v>7.4617078824030902E-2</v>
      </c>
      <c r="T72" s="167">
        <v>4.75780564478549E-2</v>
      </c>
      <c r="U72" s="111">
        <v>3.3000000000000002E-2</v>
      </c>
    </row>
    <row r="73" spans="1:23" s="343" customFormat="1" x14ac:dyDescent="0.25">
      <c r="A73" s="332" t="s">
        <v>149</v>
      </c>
      <c r="B73" s="333">
        <f>'Ingreso estructural no oil'!N71</f>
        <v>99290.381000000008</v>
      </c>
      <c r="C73" s="334">
        <f>'Balance Estructural'!R70</f>
        <v>-6.1657261415656757E-2</v>
      </c>
      <c r="D73" s="333">
        <f>'Datos CBE'!F68</f>
        <v>12546.003827150003</v>
      </c>
      <c r="E73" s="333">
        <v>788.74018113564568</v>
      </c>
      <c r="F73" s="335">
        <f t="shared" si="14"/>
        <v>6.2867841585444409E-2</v>
      </c>
      <c r="G73" s="333">
        <f>'Datos CBE'!E68</f>
        <v>20084.149000000001</v>
      </c>
      <c r="H73" s="333">
        <f t="shared" si="5"/>
        <v>32630.152827150006</v>
      </c>
      <c r="I73" s="322">
        <f t="shared" si="12"/>
        <v>0.3286335745569352</v>
      </c>
      <c r="J73" s="333">
        <v>970.6158009799999</v>
      </c>
      <c r="K73" s="335">
        <f t="shared" si="8"/>
        <v>4.8327454699723639E-2</v>
      </c>
      <c r="L73" s="345">
        <f>'Datos IB'!C73</f>
        <v>27694.166984727111</v>
      </c>
      <c r="M73" s="337">
        <v>27736.128672545001</v>
      </c>
      <c r="N73" s="338">
        <f t="shared" si="9"/>
        <v>-6.7833382167518108E-3</v>
      </c>
      <c r="O73" s="339">
        <f>'Datos IB'!G73</f>
        <v>4.5172219085263254E-3</v>
      </c>
      <c r="P73" s="338">
        <f>'Datos IB'!F73</f>
        <v>3.4200000000000001E-2</v>
      </c>
      <c r="Q73" s="339">
        <f t="shared" si="10"/>
        <v>3.7502351658619676E-2</v>
      </c>
      <c r="R73" s="340">
        <f t="shared" si="11"/>
        <v>7.6310423334359362E-2</v>
      </c>
      <c r="S73" s="360">
        <v>7.4950882647662254E-2</v>
      </c>
      <c r="T73" s="344">
        <v>5.3997900280019134E-2</v>
      </c>
      <c r="U73" s="342">
        <v>2.1000000000000001E-2</v>
      </c>
      <c r="W73" s="343">
        <v>2015</v>
      </c>
    </row>
    <row r="74" spans="1:23" x14ac:dyDescent="0.25">
      <c r="A74" s="277" t="s">
        <v>150</v>
      </c>
      <c r="B74" s="64">
        <f>'Ingreso estructural no oil'!N72</f>
        <v>99151.215000000011</v>
      </c>
      <c r="C74" s="216">
        <f>'Balance Estructural'!R71</f>
        <v>-6.1230198110694134E-2</v>
      </c>
      <c r="D74" s="210">
        <f>'Datos CBE'!F69</f>
        <v>13863.400628150004</v>
      </c>
      <c r="E74" s="64">
        <v>803.69758778330356</v>
      </c>
      <c r="F74" s="166">
        <f t="shared" si="14"/>
        <v>5.7972615041606328E-2</v>
      </c>
      <c r="G74" s="210">
        <f>'Datos CBE'!E69</f>
        <v>21091</v>
      </c>
      <c r="H74" s="210">
        <f t="shared" si="5"/>
        <v>34954.400628150004</v>
      </c>
      <c r="I74" s="322">
        <f t="shared" si="12"/>
        <v>0.35253628135721787</v>
      </c>
      <c r="J74" s="64">
        <v>1016.0990360799999</v>
      </c>
      <c r="K74" s="166">
        <f t="shared" ref="K74:K90" si="15">J74/G74</f>
        <v>4.8176901810250812E-2</v>
      </c>
      <c r="L74" s="197">
        <f>'Datos IB'!C74</f>
        <v>27271.184528798065</v>
      </c>
      <c r="M74" s="274">
        <v>27646.4677328939</v>
      </c>
      <c r="N74" s="203">
        <f t="shared" ref="N74:N81" si="16">M74/M70-1</f>
        <v>-1.0105035647778093E-2</v>
      </c>
      <c r="O74" s="287">
        <f>'Datos IB'!G74</f>
        <v>1.0787792760823312E-2</v>
      </c>
      <c r="P74" s="187">
        <f>'Datos IB'!F74</f>
        <v>2.6699999999999998E-2</v>
      </c>
      <c r="Q74" s="203">
        <f t="shared" ref="Q74:Q84" si="17">(((1+K74)/(1+O74))-1)*(G74/SUM(D74+G74))+(((1+F74)/(1+P74))-1)*(D74/SUM(D74+G74))</f>
        <v>3.4399894633321083E-2</v>
      </c>
      <c r="R74" s="171">
        <f t="shared" si="11"/>
        <v>7.7079963175039207E-2</v>
      </c>
      <c r="S74" s="360">
        <v>7.426787822045218E-2</v>
      </c>
      <c r="T74" s="167">
        <v>5.6295929409603311E-2</v>
      </c>
      <c r="U74" s="111">
        <v>2.9000000000000001E-2</v>
      </c>
    </row>
    <row r="75" spans="1:23" x14ac:dyDescent="0.25">
      <c r="A75" s="277" t="s">
        <v>151</v>
      </c>
      <c r="B75" s="64">
        <f>'Ingreso estructural no oil'!N73</f>
        <v>98991.206000000006</v>
      </c>
      <c r="C75" s="216">
        <f>'Balance Estructural'!R72</f>
        <v>-5.5786285405108792E-2</v>
      </c>
      <c r="D75" s="210">
        <f>'Datos CBE'!F70</f>
        <v>12906.223762150004</v>
      </c>
      <c r="E75" s="64">
        <v>797.88052186297955</v>
      </c>
      <c r="F75" s="166">
        <f t="shared" si="14"/>
        <v>6.1821376768851508E-2</v>
      </c>
      <c r="G75" s="210">
        <f>'Datos CBE'!E70</f>
        <v>22572</v>
      </c>
      <c r="H75" s="210">
        <f t="shared" si="5"/>
        <v>35478.223762150003</v>
      </c>
      <c r="I75" s="322">
        <f t="shared" si="12"/>
        <v>0.35839773244251616</v>
      </c>
      <c r="J75" s="64">
        <v>1032.6759974699999</v>
      </c>
      <c r="K75" s="166">
        <f t="shared" si="15"/>
        <v>4.5750310006645395E-2</v>
      </c>
      <c r="L75" s="197">
        <f>'Datos IB'!C75</f>
        <v>27048.472782481203</v>
      </c>
      <c r="M75" s="274">
        <v>27568.281654260201</v>
      </c>
      <c r="N75" s="203">
        <f t="shared" si="16"/>
        <v>-1.1580655679458429E-2</v>
      </c>
      <c r="O75" s="287">
        <f>'Datos IB'!G75</f>
        <v>1.051893408134652E-2</v>
      </c>
      <c r="P75" s="187">
        <f>'Datos IB'!F75</f>
        <v>1.6666666666666666E-2</v>
      </c>
      <c r="Q75" s="203">
        <f t="shared" si="17"/>
        <v>3.8338662962817335E-2</v>
      </c>
      <c r="R75" s="171">
        <f t="shared" si="11"/>
        <v>7.3886872680407015E-2</v>
      </c>
      <c r="S75" s="360">
        <v>7.319737909070001E-2</v>
      </c>
      <c r="T75" s="167">
        <v>6.0116346519888904E-2</v>
      </c>
      <c r="U75" s="111">
        <v>3.3000000000000002E-2</v>
      </c>
    </row>
    <row r="76" spans="1:23" x14ac:dyDescent="0.25">
      <c r="A76" s="277" t="s">
        <v>152</v>
      </c>
      <c r="B76" s="64">
        <f>'Ingreso estructural no oil'!N74</f>
        <v>99122.209000000003</v>
      </c>
      <c r="C76" s="216">
        <f>'Balance Estructural'!R73</f>
        <v>-5.1168127381227037E-2</v>
      </c>
      <c r="D76" s="210">
        <f>'Datos CBE'!F71</f>
        <v>12403.517750410001</v>
      </c>
      <c r="E76" s="64">
        <v>803.60014275790252</v>
      </c>
      <c r="F76" s="166">
        <f t="shared" si="14"/>
        <v>6.4788083423457779E-2</v>
      </c>
      <c r="G76" s="210">
        <f>'Datos CBE'!E71</f>
        <v>28145</v>
      </c>
      <c r="H76" s="210">
        <f t="shared" si="5"/>
        <v>40548.517750409999</v>
      </c>
      <c r="I76" s="322">
        <f t="shared" si="12"/>
        <v>0.4090760099021804</v>
      </c>
      <c r="J76" s="64">
        <v>1063.03579898</v>
      </c>
      <c r="K76" s="166">
        <f t="shared" si="15"/>
        <v>3.7769969763012966E-2</v>
      </c>
      <c r="L76" s="197">
        <f>'Datos IB'!C76</f>
        <v>26903.992586472126</v>
      </c>
      <c r="M76" s="274">
        <v>27512.3614774337</v>
      </c>
      <c r="N76" s="203">
        <f t="shared" si="16"/>
        <v>-1.1154885979444251E-2</v>
      </c>
      <c r="O76" s="287">
        <f>'Datos IB'!G76</f>
        <v>1.105049657294721E-2</v>
      </c>
      <c r="P76" s="187">
        <f>'Datos IB'!F76</f>
        <v>1.4333333333333332E-2</v>
      </c>
      <c r="Q76" s="203">
        <f t="shared" si="17"/>
        <v>3.3559138382275325E-2</v>
      </c>
      <c r="R76" s="171">
        <f t="shared" si="11"/>
        <v>6.9665902627534068E-2</v>
      </c>
      <c r="S76" s="360">
        <v>7.3482180463312799E-2</v>
      </c>
      <c r="T76" s="167">
        <v>7.665841114015863E-2</v>
      </c>
      <c r="U76" s="111">
        <v>3.7999999999999999E-2</v>
      </c>
    </row>
    <row r="77" spans="1:23" s="343" customFormat="1" x14ac:dyDescent="0.25">
      <c r="A77" s="332" t="s">
        <v>153</v>
      </c>
      <c r="B77" s="333">
        <f>'Ingreso estructural no oil'!N75</f>
        <v>99937.695999999996</v>
      </c>
      <c r="C77" s="334">
        <f>'Balance Estructural'!R74</f>
        <v>-4.5583126118879609E-2</v>
      </c>
      <c r="D77" s="333">
        <f>'Datos CBE'!F72</f>
        <v>12457.36496563</v>
      </c>
      <c r="E77" s="333">
        <v>790.76105901970777</v>
      </c>
      <c r="F77" s="335">
        <f t="shared" si="14"/>
        <v>6.3477393590171419E-2</v>
      </c>
      <c r="G77" s="333">
        <f>'Datos CBE'!E72</f>
        <v>25679.3</v>
      </c>
      <c r="H77" s="333">
        <f t="shared" si="5"/>
        <v>38136.66496563</v>
      </c>
      <c r="I77" s="322">
        <f t="shared" si="12"/>
        <v>0.38160440446445754</v>
      </c>
      <c r="J77" s="333">
        <v>1147.64073925</v>
      </c>
      <c r="K77" s="335">
        <f t="shared" si="15"/>
        <v>4.4691278159840808E-2</v>
      </c>
      <c r="L77" s="345">
        <f>'Datos IB'!C77</f>
        <v>26975.492301274924</v>
      </c>
      <c r="M77" s="337">
        <v>27484.300426661899</v>
      </c>
      <c r="N77" s="339">
        <f t="shared" si="16"/>
        <v>-9.0794302570559315E-3</v>
      </c>
      <c r="O77" s="339">
        <f>'Datos IB'!G77</f>
        <v>1.8128161888701477E-2</v>
      </c>
      <c r="P77" s="338">
        <f>'Datos IB'!F77</f>
        <v>1.1600000000000001E-2</v>
      </c>
      <c r="Q77" s="339">
        <f t="shared" si="17"/>
        <v>3.4319251785330435E-2</v>
      </c>
      <c r="R77" s="346">
        <f t="shared" si="11"/>
        <v>6.2295997685995572E-2</v>
      </c>
      <c r="S77" s="361">
        <v>6.3036502292732249E-2</v>
      </c>
      <c r="T77" s="344">
        <v>8.8640263950831397E-2</v>
      </c>
      <c r="U77" s="342">
        <v>5.7000000000000002E-2</v>
      </c>
      <c r="W77" s="343">
        <v>2016</v>
      </c>
    </row>
    <row r="78" spans="1:23" x14ac:dyDescent="0.25">
      <c r="A78" s="277" t="s">
        <v>170</v>
      </c>
      <c r="B78" s="64">
        <f>'Ingreso estructural no oil'!N76</f>
        <v>101024.38400000001</v>
      </c>
      <c r="C78" s="216">
        <f>'Balance Estructural'!R75</f>
        <v>-4.680439424072879E-2</v>
      </c>
      <c r="D78" s="210">
        <f>'Datos CBE'!F73</f>
        <v>16619.8</v>
      </c>
      <c r="E78" s="64">
        <v>804.19800733642637</v>
      </c>
      <c r="F78" s="166">
        <f t="shared" si="14"/>
        <v>4.838794734812852E-2</v>
      </c>
      <c r="G78" s="210">
        <f>'Datos CBE'!E73</f>
        <v>26486.2</v>
      </c>
      <c r="H78" s="210">
        <f t="shared" ref="H78:H90" si="18">G78+D78</f>
        <v>43106</v>
      </c>
      <c r="I78" s="322">
        <f t="shared" si="12"/>
        <v>0.4266890654834381</v>
      </c>
      <c r="J78" s="64">
        <v>1323.2435690799998</v>
      </c>
      <c r="K78" s="166">
        <f t="shared" si="15"/>
        <v>4.9959736356291196E-2</v>
      </c>
      <c r="L78" s="197">
        <f>'Datos IB'!C78</f>
        <v>27219.883325836323</v>
      </c>
      <c r="M78" s="274">
        <v>27483.608111417499</v>
      </c>
      <c r="N78" s="203">
        <f t="shared" si="16"/>
        <v>-5.8907931041992656E-3</v>
      </c>
      <c r="O78" s="287">
        <f>'Datos IB'!G78</f>
        <v>2.5417778401909841E-2</v>
      </c>
      <c r="P78" s="187">
        <f>'Datos IB'!F78</f>
        <v>9.3999999999999986E-3</v>
      </c>
      <c r="Q78" s="203">
        <f t="shared" si="17"/>
        <v>2.9597927913363513E-2</v>
      </c>
      <c r="R78" s="171">
        <f t="shared" si="11"/>
        <v>6.2036774246010742E-2</v>
      </c>
      <c r="S78" s="360">
        <v>6.3122893223951912E-2</v>
      </c>
      <c r="T78" s="167">
        <v>7.4240569782672364E-2</v>
      </c>
      <c r="U78" s="111">
        <v>6.6000000000000003E-2</v>
      </c>
    </row>
    <row r="79" spans="1:23" x14ac:dyDescent="0.25">
      <c r="A79" s="277" t="s">
        <v>172</v>
      </c>
      <c r="B79" s="64">
        <f>'Ingreso estructural no oil'!N77</f>
        <v>102091.74800000001</v>
      </c>
      <c r="C79" s="216">
        <f>'Balance Estructural'!R76</f>
        <v>-4.9549122555364103E-2</v>
      </c>
      <c r="D79" s="210">
        <f>'Datos CBE'!F74</f>
        <v>14990</v>
      </c>
      <c r="E79" s="64">
        <v>813.88848687405266</v>
      </c>
      <c r="F79" s="166">
        <f t="shared" si="14"/>
        <v>5.4295429411210988E-2</v>
      </c>
      <c r="G79" s="210">
        <f>'Datos CBE'!E74</f>
        <v>28552.1</v>
      </c>
      <c r="H79" s="210">
        <f t="shared" si="18"/>
        <v>43542.1</v>
      </c>
      <c r="I79" s="322">
        <f t="shared" si="12"/>
        <v>0.42649970103362317</v>
      </c>
      <c r="J79" s="64">
        <v>1403.9217919199998</v>
      </c>
      <c r="K79" s="166">
        <f t="shared" si="15"/>
        <v>4.9170526578430303E-2</v>
      </c>
      <c r="L79" s="197">
        <f>'Datos IB'!C79</f>
        <v>27510.308127872129</v>
      </c>
      <c r="M79" s="274">
        <v>27504.706136907102</v>
      </c>
      <c r="N79" s="203">
        <f t="shared" si="16"/>
        <v>-2.306110991987631E-3</v>
      </c>
      <c r="O79" s="287">
        <f>'Datos IB'!G79</f>
        <v>1.901457321304667E-2</v>
      </c>
      <c r="P79" s="187">
        <f>'Datos IB'!F79</f>
        <v>7.8333333333333328E-3</v>
      </c>
      <c r="Q79" s="203">
        <f t="shared" si="17"/>
        <v>3.5276273085166468E-2</v>
      </c>
      <c r="R79" s="171">
        <f t="shared" si="11"/>
        <v>6.561504793551684E-2</v>
      </c>
      <c r="S79" s="360">
        <v>6.6014524370154315E-2</v>
      </c>
      <c r="T79" s="167">
        <v>7.211634713001569E-2</v>
      </c>
      <c r="U79" s="111">
        <v>5.8999999999999997E-2</v>
      </c>
    </row>
    <row r="80" spans="1:23" x14ac:dyDescent="0.25">
      <c r="A80" s="277" t="s">
        <v>174</v>
      </c>
      <c r="B80" s="64">
        <f>'Ingreso estructural no oil'!N78</f>
        <v>103141.91399999999</v>
      </c>
      <c r="C80" s="216">
        <f>'Balance Estructural'!R77</f>
        <v>-4.7480461657098738E-2</v>
      </c>
      <c r="D80" s="210">
        <f>'Datos CBE'!F75</f>
        <v>14961.376</v>
      </c>
      <c r="E80" s="64">
        <v>865.79716006231388</v>
      </c>
      <c r="F80" s="166">
        <f t="shared" ref="F80:F90" si="19">E80/D80</f>
        <v>5.7868819021880999E-2</v>
      </c>
      <c r="G80" s="210">
        <f>'Datos CBE'!E75</f>
        <v>28145.200000000001</v>
      </c>
      <c r="H80" s="210">
        <f t="shared" si="18"/>
        <v>43106.576000000001</v>
      </c>
      <c r="I80" s="322">
        <f t="shared" si="12"/>
        <v>0.41793461385639991</v>
      </c>
      <c r="J80" s="64">
        <v>1527.4288537499999</v>
      </c>
      <c r="K80" s="166">
        <f t="shared" si="15"/>
        <v>5.4269603831203897E-2</v>
      </c>
      <c r="L80" s="197">
        <f>'Datos IB'!C80</f>
        <v>27813.840226428587</v>
      </c>
      <c r="M80" s="274">
        <v>27539.3790272226</v>
      </c>
      <c r="N80" s="203">
        <f t="shared" si="16"/>
        <v>9.8201493212646263E-4</v>
      </c>
      <c r="O80" s="287">
        <f>'Datos IB'!G80</f>
        <v>1.9784172661870603E-2</v>
      </c>
      <c r="P80" s="187">
        <f>'Datos IB'!F80</f>
        <v>1.1666666666666668E-3</v>
      </c>
      <c r="Q80" s="203">
        <f t="shared" si="17"/>
        <v>4.1736625743551775E-2</v>
      </c>
      <c r="R80" s="171">
        <f>(((1+Q80)/(1+N80)-1)*((SUM(D80,G80))/B80))-C80</f>
        <v>6.4496514171784439E-2</v>
      </c>
      <c r="S80" s="360">
        <v>6.4105894325826154E-2</v>
      </c>
      <c r="T80" s="167">
        <v>7.1448693592334703E-2</v>
      </c>
      <c r="U80" s="111">
        <v>5.7000000000000002E-2</v>
      </c>
    </row>
    <row r="81" spans="1:23" s="343" customFormat="1" x14ac:dyDescent="0.25">
      <c r="A81" s="332" t="s">
        <v>190</v>
      </c>
      <c r="B81" s="333">
        <f>'Ingreso estructural no oil'!N79</f>
        <v>104295.86199999999</v>
      </c>
      <c r="C81" s="334">
        <f>'Balance Estructural'!R78</f>
        <v>-5.2869163620336668E-2</v>
      </c>
      <c r="D81" s="333">
        <f>'Datos CBE'!F76</f>
        <v>14785.697104550005</v>
      </c>
      <c r="E81" s="333">
        <v>868.31464138728779</v>
      </c>
      <c r="F81" s="335">
        <f t="shared" si="19"/>
        <v>5.8726662344522208E-2</v>
      </c>
      <c r="G81" s="333">
        <f>'Datos CBE'!E76</f>
        <v>31749</v>
      </c>
      <c r="H81" s="333">
        <f t="shared" si="18"/>
        <v>46534.697104550003</v>
      </c>
      <c r="I81" s="322">
        <f t="shared" si="12"/>
        <v>0.44617970657886702</v>
      </c>
      <c r="J81" s="333">
        <v>1612.442646128</v>
      </c>
      <c r="K81" s="335">
        <f t="shared" si="15"/>
        <v>5.0787194750322846E-2</v>
      </c>
      <c r="L81" s="345">
        <f>'Datos IB'!C81</f>
        <v>28121.034699390497</v>
      </c>
      <c r="M81" s="337">
        <v>27579.4672450873</v>
      </c>
      <c r="N81" s="339">
        <f t="shared" si="16"/>
        <v>3.4625883485497333E-3</v>
      </c>
      <c r="O81" s="339">
        <f>'Datos IB'!G81</f>
        <v>2.1256038647343045E-2</v>
      </c>
      <c r="P81" s="338">
        <f>'Datos IB'!F81</f>
        <v>-1.7000000000000001E-3</v>
      </c>
      <c r="Q81" s="339">
        <f t="shared" si="17"/>
        <v>3.8961077046154091E-2</v>
      </c>
      <c r="R81" s="340">
        <f>(((1+Q81)/(1+N81)-1)*((SUM(D81,G81))/B81))-C81</f>
        <v>6.8653215218271127E-2</v>
      </c>
      <c r="S81" s="360">
        <v>5.9706931170143418E-2</v>
      </c>
      <c r="T81" s="344">
        <v>6.6415336899024971E-2</v>
      </c>
      <c r="U81" s="342">
        <v>5.8999999999999997E-2</v>
      </c>
      <c r="W81" s="343">
        <v>2017</v>
      </c>
    </row>
    <row r="82" spans="1:23" ht="15.75" x14ac:dyDescent="0.25">
      <c r="A82" s="277" t="s">
        <v>246</v>
      </c>
      <c r="B82" s="333">
        <f>'Ingreso estructural no oil'!N80</f>
        <v>105189.34899999999</v>
      </c>
      <c r="C82" s="334">
        <f>'Balance Estructural'!R79</f>
        <v>-4.5349849013984624E-2</v>
      </c>
      <c r="D82" s="333">
        <f>'Datos CBE'!F77</f>
        <v>14364</v>
      </c>
      <c r="E82" s="372">
        <v>923.94367585737587</v>
      </c>
      <c r="F82" s="335">
        <f t="shared" si="19"/>
        <v>6.4323564178319123E-2</v>
      </c>
      <c r="G82" s="333">
        <f>'Datos CBE'!E77</f>
        <v>34566</v>
      </c>
      <c r="H82" s="333">
        <f t="shared" si="18"/>
        <v>48930</v>
      </c>
      <c r="J82" s="372">
        <v>1577.127696348</v>
      </c>
      <c r="K82" s="335">
        <f t="shared" si="15"/>
        <v>4.562656067661864E-2</v>
      </c>
      <c r="L82" s="345">
        <f>'Datos IB'!C82</f>
        <v>0</v>
      </c>
      <c r="N82" s="373">
        <v>1.2971785265900815E-2</v>
      </c>
      <c r="Q82" s="339">
        <f t="shared" si="17"/>
        <v>5.1115294751795937E-2</v>
      </c>
      <c r="R82" s="340">
        <f t="shared" ref="R82:R84" si="20">(((1+Q82)/(1+N82)-1)*((SUM(D82,G82))/B82))-C82</f>
        <v>6.2865518770910483E-2</v>
      </c>
    </row>
    <row r="83" spans="1:23" ht="15.75" x14ac:dyDescent="0.25">
      <c r="A83" s="277" t="s">
        <v>247</v>
      </c>
      <c r="B83" s="333">
        <f>'Ingreso estructural no oil'!N81</f>
        <v>105963.338</v>
      </c>
      <c r="C83" s="334">
        <f>'Balance Estructural'!R80</f>
        <v>-4.0145522592647587E-2</v>
      </c>
      <c r="D83" s="333">
        <f>'Datos CBE'!F78</f>
        <v>14785.6</v>
      </c>
      <c r="E83" s="372">
        <v>911.72583212420739</v>
      </c>
      <c r="F83" s="335">
        <f t="shared" si="19"/>
        <v>6.1663093288348618E-2</v>
      </c>
      <c r="G83" s="333">
        <f>'Datos CBE'!E78</f>
        <v>34000</v>
      </c>
      <c r="H83" s="333">
        <f t="shared" si="18"/>
        <v>48785.599999999999</v>
      </c>
      <c r="J83" s="372">
        <v>1765.4445716579999</v>
      </c>
      <c r="K83" s="335">
        <f t="shared" si="15"/>
        <v>5.1924840342882347E-2</v>
      </c>
      <c r="L83" s="345">
        <f>'Datos IB'!C83</f>
        <v>0</v>
      </c>
      <c r="M83" s="14">
        <v>220.7</v>
      </c>
      <c r="N83" s="373">
        <v>1.7624771672744899E-2</v>
      </c>
      <c r="Q83" s="339">
        <f t="shared" si="17"/>
        <v>5.4876242247347662E-2</v>
      </c>
      <c r="R83" s="340">
        <f t="shared" si="20"/>
        <v>5.6999087253633562E-2</v>
      </c>
    </row>
    <row r="84" spans="1:23" ht="15.75" x14ac:dyDescent="0.25">
      <c r="A84" s="277" t="s">
        <v>248</v>
      </c>
      <c r="B84" s="333">
        <f>'Ingreso estructural no oil'!N82</f>
        <v>107269.917</v>
      </c>
      <c r="C84" s="334">
        <f>'Balance Estructural'!R81</f>
        <v>-4.0357223363610743E-2</v>
      </c>
      <c r="D84" s="333">
        <f>'Datos CBE'!F79</f>
        <v>13866.2</v>
      </c>
      <c r="E84" s="372">
        <v>908.9321032141761</v>
      </c>
      <c r="F84" s="335">
        <f t="shared" si="19"/>
        <v>6.5550194228712694E-2</v>
      </c>
      <c r="G84" s="333">
        <f>'Datos CBE'!E79</f>
        <v>34874.9</v>
      </c>
      <c r="H84" s="333">
        <f t="shared" si="18"/>
        <v>48741.100000000006</v>
      </c>
      <c r="J84" s="372">
        <v>1900.1016919979998</v>
      </c>
      <c r="K84" s="335">
        <f t="shared" si="15"/>
        <v>5.4483358862620387E-2</v>
      </c>
      <c r="L84" s="345">
        <f>'Datos IB'!C84</f>
        <v>0</v>
      </c>
      <c r="N84" s="373">
        <v>1.6590133939070162E-2</v>
      </c>
      <c r="Q84" s="339">
        <f t="shared" si="17"/>
        <v>5.7631727540251934E-2</v>
      </c>
      <c r="R84" s="340">
        <f t="shared" si="20"/>
        <v>5.8701293690607975E-2</v>
      </c>
    </row>
    <row r="85" spans="1:23" ht="15.75" x14ac:dyDescent="0.25">
      <c r="A85" s="277" t="s">
        <v>249</v>
      </c>
      <c r="B85" s="333">
        <f>'Ingreso estructural no oil'!N83</f>
        <v>108398.058</v>
      </c>
      <c r="C85" s="334">
        <f>'Balance Estructural'!R82</f>
        <v>-2.9951595019825222E-2</v>
      </c>
      <c r="D85" s="333">
        <f>'Datos CBE'!F80</f>
        <v>13733.1</v>
      </c>
      <c r="E85" s="372">
        <v>905.35398490935791</v>
      </c>
      <c r="F85" s="335">
        <f t="shared" si="19"/>
        <v>6.5924953936791972E-2</v>
      </c>
      <c r="G85" s="333">
        <f>'Datos CBE'!E80</f>
        <v>35695.5</v>
      </c>
      <c r="H85" s="333">
        <f t="shared" si="18"/>
        <v>49428.6</v>
      </c>
      <c r="J85" s="27">
        <v>2073.7563686335975</v>
      </c>
      <c r="K85" s="335">
        <f t="shared" si="15"/>
        <v>5.8095736679234004E-2</v>
      </c>
      <c r="L85" s="345">
        <f>'Datos IB'!C85</f>
        <v>0</v>
      </c>
      <c r="N85" s="373">
        <v>1.4226682620858133E-2</v>
      </c>
      <c r="Q85" s="339">
        <f>(((1+K85)/(1+O85))-1)*(G85/SUM(D85+G85))+(((1+F85)/(1+P85))-1)*(D85/SUM(D85+G85))</f>
        <v>6.0270983874577799E-2</v>
      </c>
      <c r="R85" s="340">
        <f>(((1+Q85)/(1+N85)-1)*((SUM(D85,G85))/B85))-C85</f>
        <v>5.0652897106330599E-2</v>
      </c>
      <c r="W85">
        <v>2018</v>
      </c>
    </row>
    <row r="86" spans="1:23" ht="15.75" x14ac:dyDescent="0.25">
      <c r="A86">
        <v>2019</v>
      </c>
      <c r="B86" s="27">
        <v>106289</v>
      </c>
      <c r="C86" s="392">
        <f>'Balance Estructural'!R83</f>
        <v>-2.679515911218229E-2</v>
      </c>
      <c r="D86" s="207">
        <v>13274</v>
      </c>
      <c r="E86" s="372">
        <f>2803-J86</f>
        <v>394</v>
      </c>
      <c r="F86" s="376">
        <f t="shared" si="19"/>
        <v>2.9682085279493748E-2</v>
      </c>
      <c r="G86" s="372">
        <v>39653</v>
      </c>
      <c r="H86" s="333">
        <f t="shared" si="18"/>
        <v>52927</v>
      </c>
      <c r="I86" s="212"/>
      <c r="J86" s="27">
        <v>2409</v>
      </c>
      <c r="K86" s="376">
        <f t="shared" si="15"/>
        <v>6.0752023806521574E-2</v>
      </c>
      <c r="M86" s="372">
        <v>2073.7563686335975</v>
      </c>
      <c r="N86" s="375">
        <v>-5.0000000000000001E-3</v>
      </c>
      <c r="O86" s="188"/>
      <c r="P86" s="188"/>
      <c r="Q86" s="377">
        <f t="shared" ref="Q86:Q90" si="21">(((1+K86)/(1+O86))-1)*(G86/SUM(D86+G86))+(((1+F86)/(1+P86))-1)*(D86/SUM(D86+G86))</f>
        <v>5.2959736996240077E-2</v>
      </c>
      <c r="R86" s="378">
        <f>(((1+Q86)/(1+N86)-1)*((SUM(D86,G86))/B86))-C86</f>
        <v>5.5801455636340737E-2</v>
      </c>
    </row>
    <row r="87" spans="1:23" ht="15.75" x14ac:dyDescent="0.25">
      <c r="A87">
        <v>2020</v>
      </c>
      <c r="B87" s="27">
        <v>107730</v>
      </c>
      <c r="C87" s="392">
        <f>'Balance Estructural'!R84</f>
        <v>-1.1827882845381643E-2</v>
      </c>
      <c r="D87" s="207">
        <v>12838</v>
      </c>
      <c r="E87" s="372">
        <f>2994-J87</f>
        <v>405</v>
      </c>
      <c r="F87" s="376">
        <f t="shared" si="19"/>
        <v>3.1546969933011371E-2</v>
      </c>
      <c r="G87" s="372">
        <v>38189</v>
      </c>
      <c r="H87" s="333">
        <f t="shared" si="18"/>
        <v>51027</v>
      </c>
      <c r="I87" s="212"/>
      <c r="J87" s="372">
        <v>2589</v>
      </c>
      <c r="K87" s="376">
        <f t="shared" si="15"/>
        <v>6.7794391055015849E-2</v>
      </c>
      <c r="L87" s="14"/>
      <c r="N87" s="375">
        <v>2E-3</v>
      </c>
      <c r="O87" s="188"/>
      <c r="P87" s="188"/>
      <c r="Q87" s="377">
        <f t="shared" si="21"/>
        <v>5.8674819213357612E-2</v>
      </c>
      <c r="R87" s="378">
        <f t="shared" ref="R87:R89" si="22">(((1+Q87)/(1+N87)-1)*((SUM(D87,G87))/B87))-C87</f>
        <v>3.8618689980762844E-2</v>
      </c>
      <c r="S87" s="170">
        <f t="shared" ref="S87:S89" si="23">B87/B86-1</f>
        <v>1.3557376586476488E-2</v>
      </c>
    </row>
    <row r="88" spans="1:23" ht="15.75" x14ac:dyDescent="0.25">
      <c r="A88">
        <v>2021</v>
      </c>
      <c r="B88" s="27">
        <v>110571</v>
      </c>
      <c r="C88" s="392">
        <f>'Balance Estructural'!R85</f>
        <v>-3.1864544739093493E-3</v>
      </c>
      <c r="D88" s="207">
        <v>12204</v>
      </c>
      <c r="E88" s="372">
        <f>2854-J88</f>
        <v>363</v>
      </c>
      <c r="F88" s="376">
        <f t="shared" si="19"/>
        <v>2.9744346116027533E-2</v>
      </c>
      <c r="G88" s="372">
        <v>38596</v>
      </c>
      <c r="H88" s="333">
        <f t="shared" si="18"/>
        <v>50800</v>
      </c>
      <c r="I88" s="212"/>
      <c r="J88" s="372">
        <v>2491</v>
      </c>
      <c r="K88" s="376">
        <f t="shared" si="15"/>
        <v>6.4540366877396615E-2</v>
      </c>
      <c r="L88" s="14"/>
      <c r="N88" s="375">
        <v>1.2E-2</v>
      </c>
      <c r="O88" s="188"/>
      <c r="P88" s="188"/>
      <c r="Q88" s="377">
        <f t="shared" si="21"/>
        <v>5.6181102362204652E-2</v>
      </c>
      <c r="R88" s="378">
        <f t="shared" si="22"/>
        <v>2.3244033416532847E-2</v>
      </c>
      <c r="S88" s="170">
        <f t="shared" si="23"/>
        <v>2.6371484266221046E-2</v>
      </c>
    </row>
    <row r="89" spans="1:23" ht="15.75" x14ac:dyDescent="0.25">
      <c r="A89">
        <v>2022</v>
      </c>
      <c r="B89" s="27">
        <v>114783</v>
      </c>
      <c r="C89" s="392">
        <f>'Balance Estructural'!R86</f>
        <v>-8.9491814843299742E-3</v>
      </c>
      <c r="D89" s="207">
        <v>11953</v>
      </c>
      <c r="E89" s="372">
        <f>2702-J89</f>
        <v>318</v>
      </c>
      <c r="F89" s="376">
        <f t="shared" si="19"/>
        <v>2.6604199782481384E-2</v>
      </c>
      <c r="G89" s="372">
        <v>35505</v>
      </c>
      <c r="H89" s="333">
        <f t="shared" si="18"/>
        <v>47458</v>
      </c>
      <c r="I89" s="212"/>
      <c r="J89" s="372">
        <v>2384</v>
      </c>
      <c r="K89" s="376">
        <f t="shared" si="15"/>
        <v>6.7145472468666381E-2</v>
      </c>
      <c r="L89" s="14"/>
      <c r="N89" s="375">
        <v>2.7E-2</v>
      </c>
      <c r="O89" s="188"/>
      <c r="P89" s="188"/>
      <c r="Q89" s="377">
        <f t="shared" si="21"/>
        <v>5.6934552657086267E-2</v>
      </c>
      <c r="R89" s="378">
        <f t="shared" si="22"/>
        <v>2.1000489578573069E-2</v>
      </c>
      <c r="S89" s="170">
        <f t="shared" si="23"/>
        <v>3.8093170903763296E-2</v>
      </c>
    </row>
    <row r="90" spans="1:23" ht="15.75" x14ac:dyDescent="0.25">
      <c r="A90">
        <v>2023</v>
      </c>
      <c r="B90" s="27">
        <v>118502</v>
      </c>
      <c r="C90" s="392">
        <f>'Balance Estructural'!R87</f>
        <v>-4.3714846452205178E-3</v>
      </c>
      <c r="D90" s="207">
        <v>10472</v>
      </c>
      <c r="E90" s="372">
        <f>2502-J90</f>
        <v>266</v>
      </c>
      <c r="F90" s="376">
        <f t="shared" si="19"/>
        <v>2.5401069518716578E-2</v>
      </c>
      <c r="G90" s="372">
        <v>33545</v>
      </c>
      <c r="H90" s="333">
        <f t="shared" si="18"/>
        <v>44017</v>
      </c>
      <c r="I90" s="212"/>
      <c r="J90" s="372">
        <v>2236</v>
      </c>
      <c r="K90" s="376">
        <f t="shared" si="15"/>
        <v>6.6656729765985995E-2</v>
      </c>
      <c r="L90" s="14"/>
      <c r="N90" s="375">
        <v>2.3E-2</v>
      </c>
      <c r="O90" s="188"/>
      <c r="P90" s="188"/>
      <c r="Q90" s="377">
        <f t="shared" si="21"/>
        <v>5.684167480746069E-2</v>
      </c>
      <c r="R90" s="378">
        <f>(((1+Q90)/(1+N90)-1)*((SUM(D90,G90))/B90))-C90</f>
        <v>1.665919522875408E-2</v>
      </c>
      <c r="S90" s="170">
        <f>B90/B89-1</f>
        <v>3.2400268332418491E-2</v>
      </c>
    </row>
    <row r="91" spans="1:23" ht="15.75" x14ac:dyDescent="0.25">
      <c r="A91" s="126">
        <v>2019</v>
      </c>
      <c r="B91" s="27">
        <v>105869</v>
      </c>
      <c r="C91" s="399">
        <f>'Balance Estructural'!R88</f>
        <v>-3.0513943334448651E-2</v>
      </c>
      <c r="D91" s="394">
        <v>13274</v>
      </c>
      <c r="E91" s="372">
        <v>394</v>
      </c>
      <c r="F91" s="14">
        <v>2.9682085279493748E-2</v>
      </c>
      <c r="G91" s="372">
        <v>39653</v>
      </c>
      <c r="H91" s="212"/>
      <c r="I91" s="212"/>
      <c r="J91" s="27">
        <v>2409</v>
      </c>
      <c r="K91" s="376">
        <v>6.0752023806521574E-2</v>
      </c>
      <c r="L91" s="14"/>
      <c r="N91" s="393">
        <v>-1.4999999999999999E-2</v>
      </c>
      <c r="O91" s="188"/>
      <c r="P91" s="188"/>
      <c r="Q91" s="377">
        <v>5.2959736996240077E-2</v>
      </c>
      <c r="R91" s="395">
        <f t="shared" ref="R91:R95" si="24">(((1+Q91)/(1+N91)-1)*((SUM(D91,G91))/B91))-C91</f>
        <v>6.5006384021011054E-2</v>
      </c>
    </row>
    <row r="92" spans="1:23" ht="15.75" x14ac:dyDescent="0.25">
      <c r="A92" s="126">
        <v>2020</v>
      </c>
      <c r="B92" s="27">
        <v>106523</v>
      </c>
      <c r="C92" s="399">
        <f>'Balance Estructural'!R89</f>
        <v>-1.6342177923387088E-2</v>
      </c>
      <c r="D92" s="394">
        <v>12838</v>
      </c>
      <c r="E92" s="372">
        <v>405</v>
      </c>
      <c r="F92">
        <v>3.1546969933011371E-2</v>
      </c>
      <c r="G92" s="372">
        <v>38189</v>
      </c>
      <c r="J92" s="372">
        <v>2589</v>
      </c>
      <c r="K92" s="376">
        <v>6.7794391055015849E-2</v>
      </c>
      <c r="M92" s="27"/>
      <c r="N92" s="393">
        <v>-6.0000000000000001E-3</v>
      </c>
      <c r="O92" s="27"/>
      <c r="P92" s="27"/>
      <c r="Q92" s="377">
        <v>5.8674819213357612E-2</v>
      </c>
      <c r="R92" s="395">
        <f t="shared" si="24"/>
        <v>4.7509930380319629E-2</v>
      </c>
      <c r="S92" s="27" t="s">
        <v>254</v>
      </c>
      <c r="T92" s="27" t="s">
        <v>255</v>
      </c>
      <c r="U92" s="27" t="s">
        <v>256</v>
      </c>
      <c r="V92" s="27" t="s">
        <v>257</v>
      </c>
      <c r="W92" s="27" t="s">
        <v>258</v>
      </c>
    </row>
    <row r="93" spans="1:23" ht="15.75" x14ac:dyDescent="0.25">
      <c r="A93" s="126">
        <v>2021</v>
      </c>
      <c r="B93" s="27">
        <v>107730</v>
      </c>
      <c r="C93" s="399">
        <f>'Balance Estructural'!R90</f>
        <v>-6.8521252913267359E-3</v>
      </c>
      <c r="D93" s="394">
        <v>12204</v>
      </c>
      <c r="E93" s="372">
        <v>363</v>
      </c>
      <c r="F93">
        <v>2.9744346116027533E-2</v>
      </c>
      <c r="G93" s="372">
        <v>38596</v>
      </c>
      <c r="J93" s="372">
        <v>2491</v>
      </c>
      <c r="K93" s="376">
        <v>6.4540366877396615E-2</v>
      </c>
      <c r="M93" s="27"/>
      <c r="N93" s="393">
        <v>7.0000000000000001E-3</v>
      </c>
      <c r="O93" s="27"/>
      <c r="P93" s="27"/>
      <c r="Q93" s="377">
        <v>5.6181102362204652E-2</v>
      </c>
      <c r="R93" s="395">
        <f t="shared" si="24"/>
        <v>2.9882226197348864E-2</v>
      </c>
      <c r="S93" s="54">
        <f>C86</f>
        <v>-2.679515911218229E-2</v>
      </c>
      <c r="T93" s="54">
        <f>Q86</f>
        <v>5.2959736996240077E-2</v>
      </c>
      <c r="U93" s="54">
        <v>0.49199999999999999</v>
      </c>
      <c r="V93" s="54">
        <v>-5.0000000000000001E-3</v>
      </c>
      <c r="W93" s="54">
        <v>5.5801455636340737E-2</v>
      </c>
    </row>
    <row r="94" spans="1:23" ht="15.75" x14ac:dyDescent="0.25">
      <c r="A94" s="126">
        <v>2022</v>
      </c>
      <c r="B94" s="27">
        <v>110571</v>
      </c>
      <c r="C94" s="399">
        <f>'Balance Estructural'!R91</f>
        <v>-1.2781958183572962E-2</v>
      </c>
      <c r="D94" s="394">
        <v>11953</v>
      </c>
      <c r="E94" s="372">
        <v>318</v>
      </c>
      <c r="F94">
        <v>2.6604199782481384E-2</v>
      </c>
      <c r="G94" s="372">
        <v>35505</v>
      </c>
      <c r="J94" s="372">
        <v>2384</v>
      </c>
      <c r="K94" s="376">
        <v>6.7145472468666381E-2</v>
      </c>
      <c r="M94" s="27"/>
      <c r="N94" s="393">
        <v>1.2999999999999999E-2</v>
      </c>
      <c r="O94" s="27"/>
      <c r="P94" s="27"/>
      <c r="Q94" s="377">
        <v>5.6934552657086267E-2</v>
      </c>
      <c r="R94" s="395">
        <f t="shared" si="24"/>
        <v>3.1397040372525963E-2</v>
      </c>
      <c r="S94" s="54">
        <f>C87</f>
        <v>-1.1827882845381643E-2</v>
      </c>
      <c r="T94" s="54">
        <f>Q87</f>
        <v>5.8674819213357612E-2</v>
      </c>
      <c r="U94" s="54">
        <v>0.46800000000000003</v>
      </c>
      <c r="V94" s="54">
        <v>2E-3</v>
      </c>
      <c r="W94" s="54">
        <v>3.8618689980762844E-2</v>
      </c>
    </row>
    <row r="95" spans="1:23" ht="15.75" x14ac:dyDescent="0.25">
      <c r="A95" s="126">
        <v>2023</v>
      </c>
      <c r="B95" s="27">
        <v>114783</v>
      </c>
      <c r="C95" s="399">
        <f>'Balance Estructural'!R92</f>
        <v>-7.9243413521856119E-3</v>
      </c>
      <c r="D95" s="394">
        <v>10472</v>
      </c>
      <c r="E95" s="372">
        <v>266</v>
      </c>
      <c r="F95">
        <v>2.5401069518716578E-2</v>
      </c>
      <c r="G95" s="372">
        <v>33545</v>
      </c>
      <c r="J95" s="372">
        <v>2236</v>
      </c>
      <c r="K95" s="376">
        <v>6.6656729765985995E-2</v>
      </c>
      <c r="M95" s="27"/>
      <c r="N95" s="393">
        <v>1.4999999999999999E-2</v>
      </c>
      <c r="O95" s="27"/>
      <c r="P95" s="27"/>
      <c r="Q95" s="377">
        <v>5.684167480746069E-2</v>
      </c>
      <c r="R95" s="395">
        <f t="shared" si="24"/>
        <v>2.3732667442251793E-2</v>
      </c>
      <c r="S95" s="54">
        <f>C88</f>
        <v>-3.1864544739093493E-3</v>
      </c>
      <c r="T95" s="54">
        <f>Q88</f>
        <v>5.6181102362204652E-2</v>
      </c>
      <c r="U95" s="54">
        <v>0.45200000000000001</v>
      </c>
      <c r="V95" s="54">
        <v>1.2E-2</v>
      </c>
      <c r="W95" s="54">
        <v>2.3244033416532847E-2</v>
      </c>
    </row>
    <row r="96" spans="1:23" x14ac:dyDescent="0.25">
      <c r="C96" s="27"/>
      <c r="D96" s="27"/>
      <c r="K96" s="27"/>
      <c r="M96" s="27"/>
      <c r="N96" s="27"/>
      <c r="O96" s="27"/>
      <c r="P96" s="27"/>
      <c r="Q96" s="27"/>
      <c r="R96" s="27"/>
      <c r="S96" s="54">
        <f>C89</f>
        <v>-8.9491814843299742E-3</v>
      </c>
      <c r="T96" s="54">
        <f>Q89</f>
        <v>5.6934552657086267E-2</v>
      </c>
      <c r="U96" s="54">
        <v>0.40799999999999997</v>
      </c>
      <c r="V96" s="54">
        <v>2.7E-2</v>
      </c>
      <c r="W96" s="54">
        <v>2.1000489578573069E-2</v>
      </c>
    </row>
    <row r="97" spans="19:23" x14ac:dyDescent="0.25">
      <c r="S97" s="54">
        <f>C90</f>
        <v>-4.3714846452205178E-3</v>
      </c>
      <c r="T97" s="54">
        <f>Q90</f>
        <v>5.684167480746069E-2</v>
      </c>
      <c r="U97" s="54">
        <v>0.36599999999999999</v>
      </c>
      <c r="V97" s="213">
        <v>2.3E-2</v>
      </c>
      <c r="W97" s="213">
        <v>1.665919522875408E-2</v>
      </c>
    </row>
  </sheetData>
  <pageMargins left="0.7" right="0.7" top="0.75" bottom="0.75" header="0.3" footer="0.3"/>
  <pageSetup orientation="portrait" horizontalDpi="90" verticalDpi="9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S76"/>
  <sheetViews>
    <sheetView topLeftCell="C1" zoomScale="85" zoomScaleNormal="85" workbookViewId="0">
      <selection activeCell="O12433" sqref="O1:O12433"/>
    </sheetView>
  </sheetViews>
  <sheetFormatPr baseColWidth="10" defaultColWidth="11.42578125" defaultRowHeight="15" x14ac:dyDescent="0.25"/>
  <sheetData>
    <row r="1" spans="17:19" x14ac:dyDescent="0.25">
      <c r="Q1" s="374" t="s">
        <v>0</v>
      </c>
      <c r="R1" s="54">
        <v>-3.5517686234838801E-2</v>
      </c>
    </row>
    <row r="2" spans="17:19" x14ac:dyDescent="0.25">
      <c r="Q2" s="374" t="s">
        <v>6</v>
      </c>
      <c r="R2" s="54">
        <v>-4.8162404672732827E-2</v>
      </c>
    </row>
    <row r="3" spans="17:19" x14ac:dyDescent="0.25">
      <c r="Q3" s="374" t="s">
        <v>1</v>
      </c>
      <c r="R3" s="54">
        <v>-5.8929937429781414E-2</v>
      </c>
    </row>
    <row r="4" spans="17:19" x14ac:dyDescent="0.25">
      <c r="Q4" s="374" t="s">
        <v>2</v>
      </c>
      <c r="R4" s="54">
        <v>-1.1383094531827155E-2</v>
      </c>
    </row>
    <row r="5" spans="17:19" x14ac:dyDescent="0.25">
      <c r="Q5" s="374" t="s">
        <v>3</v>
      </c>
      <c r="R5" s="54">
        <v>-8.5505593588984311E-3</v>
      </c>
      <c r="S5" s="54"/>
    </row>
    <row r="6" spans="17:19" x14ac:dyDescent="0.25">
      <c r="Q6" s="374" t="s">
        <v>4</v>
      </c>
      <c r="R6" s="54">
        <v>7.3985301574639485E-3</v>
      </c>
      <c r="S6" s="54">
        <v>7.3985301574639485E-3</v>
      </c>
    </row>
    <row r="7" spans="17:19" x14ac:dyDescent="0.25">
      <c r="Q7" s="374" t="s">
        <v>5</v>
      </c>
      <c r="S7" s="54">
        <v>6.6191668439995188E-3</v>
      </c>
    </row>
    <row r="8" spans="17:19" x14ac:dyDescent="0.25">
      <c r="Q8" s="374" t="s">
        <v>7</v>
      </c>
      <c r="S8" s="54">
        <v>1.1989716024183687E-2</v>
      </c>
    </row>
    <row r="9" spans="17:19" x14ac:dyDescent="0.25">
      <c r="Q9" s="374" t="s">
        <v>8</v>
      </c>
      <c r="S9" s="54">
        <v>1.4445395599597627E-2</v>
      </c>
    </row>
    <row r="10" spans="17:19" x14ac:dyDescent="0.25">
      <c r="Q10" s="374" t="s">
        <v>9</v>
      </c>
      <c r="S10" s="54">
        <v>1.4742035688873821E-2</v>
      </c>
    </row>
    <row r="11" spans="17:19" x14ac:dyDescent="0.25">
      <c r="Q11" s="374" t="s">
        <v>10</v>
      </c>
      <c r="S11" s="54">
        <v>1.8236938507323164E-2</v>
      </c>
    </row>
    <row r="12" spans="17:19" x14ac:dyDescent="0.25">
      <c r="Q12" s="374" t="s">
        <v>11</v>
      </c>
      <c r="S12" s="54">
        <v>2.1057434110493406E-2</v>
      </c>
    </row>
    <row r="13" spans="17:19" x14ac:dyDescent="0.25">
      <c r="Q13" s="374" t="s">
        <v>12</v>
      </c>
      <c r="S13" s="54">
        <v>2.0524964026642636E-2</v>
      </c>
    </row>
    <row r="14" spans="17:19" x14ac:dyDescent="0.25">
      <c r="Q14" s="374" t="s">
        <v>13</v>
      </c>
      <c r="S14" s="54">
        <v>2.3679188982938436E-2</v>
      </c>
    </row>
    <row r="15" spans="17:19" x14ac:dyDescent="0.25">
      <c r="Q15" s="374" t="s">
        <v>14</v>
      </c>
      <c r="S15" s="54">
        <v>2.9916540790885196E-2</v>
      </c>
    </row>
    <row r="16" spans="17:19" x14ac:dyDescent="0.25">
      <c r="Q16" s="374" t="s">
        <v>15</v>
      </c>
      <c r="S16" s="54">
        <v>2.6233888244550474E-2</v>
      </c>
    </row>
    <row r="17" spans="17:19" x14ac:dyDescent="0.25">
      <c r="Q17" s="374" t="s">
        <v>16</v>
      </c>
      <c r="S17" s="54">
        <v>3.2247189475377337E-2</v>
      </c>
    </row>
    <row r="18" spans="17:19" x14ac:dyDescent="0.25">
      <c r="Q18" s="374" t="s">
        <v>17</v>
      </c>
      <c r="S18" s="54">
        <v>2.9486536638250103E-2</v>
      </c>
    </row>
    <row r="19" spans="17:19" x14ac:dyDescent="0.25">
      <c r="Q19" s="374" t="s">
        <v>18</v>
      </c>
      <c r="S19" s="54">
        <v>2.7119753263938291E-2</v>
      </c>
    </row>
    <row r="20" spans="17:19" x14ac:dyDescent="0.25">
      <c r="Q20" s="374" t="s">
        <v>19</v>
      </c>
      <c r="S20" s="54">
        <v>2.3036872266328522E-2</v>
      </c>
    </row>
    <row r="21" spans="17:19" x14ac:dyDescent="0.25">
      <c r="Q21" s="374" t="s">
        <v>20</v>
      </c>
      <c r="S21" s="54">
        <v>2.482152401027303E-2</v>
      </c>
    </row>
    <row r="22" spans="17:19" ht="18" customHeight="1" x14ac:dyDescent="0.25">
      <c r="Q22" s="374" t="s">
        <v>21</v>
      </c>
      <c r="S22" s="54">
        <v>2.0321635943855935E-2</v>
      </c>
    </row>
    <row r="23" spans="17:19" x14ac:dyDescent="0.25">
      <c r="Q23" s="374" t="s">
        <v>22</v>
      </c>
      <c r="S23" s="54">
        <v>1.5638680317275486E-2</v>
      </c>
    </row>
    <row r="24" spans="17:19" x14ac:dyDescent="0.25">
      <c r="Q24" s="374" t="s">
        <v>23</v>
      </c>
      <c r="S24" s="54">
        <v>1.8804226401438862E-2</v>
      </c>
    </row>
    <row r="25" spans="17:19" x14ac:dyDescent="0.25">
      <c r="Q25" s="374" t="s">
        <v>24</v>
      </c>
      <c r="S25" s="54">
        <v>1.1903163860566836E-2</v>
      </c>
    </row>
    <row r="26" spans="17:19" x14ac:dyDescent="0.25">
      <c r="Q26" s="374" t="s">
        <v>25</v>
      </c>
      <c r="S26" s="54">
        <v>1.4132949199647336E-2</v>
      </c>
    </row>
    <row r="27" spans="17:19" x14ac:dyDescent="0.25">
      <c r="Q27" s="374" t="s">
        <v>26</v>
      </c>
      <c r="S27" s="54">
        <v>1.5235780756669055E-2</v>
      </c>
    </row>
    <row r="28" spans="17:19" x14ac:dyDescent="0.25">
      <c r="Q28" s="374" t="s">
        <v>27</v>
      </c>
      <c r="S28" s="54">
        <v>1.9673458088665871E-2</v>
      </c>
    </row>
    <row r="29" spans="17:19" x14ac:dyDescent="0.25">
      <c r="Q29" s="374" t="s">
        <v>28</v>
      </c>
      <c r="S29" s="54">
        <v>2.1396706510745434E-2</v>
      </c>
    </row>
    <row r="30" spans="17:19" x14ac:dyDescent="0.25">
      <c r="Q30" s="374" t="s">
        <v>29</v>
      </c>
      <c r="S30" s="54">
        <v>2.6382378065100711E-2</v>
      </c>
    </row>
    <row r="31" spans="17:19" x14ac:dyDescent="0.25">
      <c r="Q31" s="374" t="s">
        <v>30</v>
      </c>
      <c r="S31" s="54">
        <v>2.8424318752502117E-2</v>
      </c>
    </row>
    <row r="32" spans="17:19" x14ac:dyDescent="0.25">
      <c r="Q32" s="374" t="s">
        <v>31</v>
      </c>
      <c r="S32" s="54">
        <v>2.0145285121027968E-2</v>
      </c>
    </row>
    <row r="33" spans="17:19" x14ac:dyDescent="0.25">
      <c r="Q33" s="374" t="s">
        <v>32</v>
      </c>
      <c r="S33" s="54">
        <v>2.5281264720833228E-2</v>
      </c>
    </row>
    <row r="34" spans="17:19" x14ac:dyDescent="0.25">
      <c r="Q34" s="374" t="s">
        <v>33</v>
      </c>
      <c r="S34" s="54">
        <v>3.0705203502424901E-2</v>
      </c>
    </row>
    <row r="35" spans="17:19" x14ac:dyDescent="0.25">
      <c r="Q35" s="374" t="s">
        <v>34</v>
      </c>
      <c r="S35" s="54">
        <v>4.4160959085776011E-2</v>
      </c>
    </row>
    <row r="36" spans="17:19" x14ac:dyDescent="0.25">
      <c r="Q36" s="374" t="s">
        <v>35</v>
      </c>
      <c r="S36" s="54">
        <v>5.6248629094517048E-2</v>
      </c>
    </row>
    <row r="37" spans="17:19" x14ac:dyDescent="0.25">
      <c r="Q37" s="374" t="s">
        <v>36</v>
      </c>
      <c r="S37" s="54">
        <v>8.1447751719205194E-2</v>
      </c>
    </row>
    <row r="38" spans="17:19" x14ac:dyDescent="0.25">
      <c r="Q38" s="374" t="s">
        <v>37</v>
      </c>
      <c r="S38" s="54">
        <v>7.733286388087425E-2</v>
      </c>
    </row>
    <row r="39" spans="17:19" x14ac:dyDescent="0.25">
      <c r="Q39" s="374" t="s">
        <v>38</v>
      </c>
      <c r="S39" s="54">
        <v>6.295627691015282E-2</v>
      </c>
    </row>
    <row r="40" spans="17:19" x14ac:dyDescent="0.25">
      <c r="Q40" s="374" t="s">
        <v>39</v>
      </c>
      <c r="S40" s="54">
        <v>6.0545274772526615E-2</v>
      </c>
    </row>
    <row r="41" spans="17:19" x14ac:dyDescent="0.25">
      <c r="Q41" s="374" t="s">
        <v>40</v>
      </c>
      <c r="S41" s="54">
        <v>4.7306429466783886E-2</v>
      </c>
    </row>
    <row r="42" spans="17:19" x14ac:dyDescent="0.25">
      <c r="Q42" s="374" t="s">
        <v>41</v>
      </c>
      <c r="S42" s="54">
        <v>6.3387006685685865E-2</v>
      </c>
    </row>
    <row r="43" spans="17:19" x14ac:dyDescent="0.25">
      <c r="Q43" s="374" t="s">
        <v>42</v>
      </c>
      <c r="S43" s="54">
        <v>6.0681952957032617E-2</v>
      </c>
    </row>
    <row r="44" spans="17:19" x14ac:dyDescent="0.25">
      <c r="Q44" s="374" t="s">
        <v>43</v>
      </c>
      <c r="S44" s="54">
        <v>7.1213268448525435E-2</v>
      </c>
    </row>
    <row r="45" spans="17:19" x14ac:dyDescent="0.25">
      <c r="Q45" s="374" t="s">
        <v>44</v>
      </c>
      <c r="S45" s="54">
        <v>8.8246641790472799E-2</v>
      </c>
    </row>
    <row r="46" spans="17:19" x14ac:dyDescent="0.25">
      <c r="Q46" s="374" t="s">
        <v>45</v>
      </c>
      <c r="S46" s="54">
        <v>7.8472073207967799E-2</v>
      </c>
    </row>
    <row r="47" spans="17:19" x14ac:dyDescent="0.25">
      <c r="Q47" s="374" t="s">
        <v>46</v>
      </c>
      <c r="S47" s="54">
        <v>7.7042465689400028E-2</v>
      </c>
    </row>
    <row r="48" spans="17:19" x14ac:dyDescent="0.25">
      <c r="Q48" s="374" t="s">
        <v>47</v>
      </c>
      <c r="S48" s="54">
        <v>7.3263756485222972E-2</v>
      </c>
    </row>
    <row r="49" spans="17:19" x14ac:dyDescent="0.25">
      <c r="Q49" s="374" t="s">
        <v>128</v>
      </c>
      <c r="S49" s="54">
        <v>7.1947883895836298E-2</v>
      </c>
    </row>
    <row r="50" spans="17:19" x14ac:dyDescent="0.25">
      <c r="Q50" s="374" t="s">
        <v>49</v>
      </c>
      <c r="S50" s="54">
        <v>6.8906197168627281E-2</v>
      </c>
    </row>
    <row r="51" spans="17:19" x14ac:dyDescent="0.25">
      <c r="Q51" s="374" t="s">
        <v>179</v>
      </c>
      <c r="S51" s="54">
        <v>6.654641317833497E-2</v>
      </c>
    </row>
    <row r="52" spans="17:19" x14ac:dyDescent="0.25">
      <c r="Q52" s="374" t="s">
        <v>180</v>
      </c>
      <c r="S52" s="54">
        <v>6.9479145741849074E-2</v>
      </c>
    </row>
    <row r="53" spans="17:19" x14ac:dyDescent="0.25">
      <c r="Q53" s="374" t="s">
        <v>181</v>
      </c>
      <c r="S53" s="54">
        <v>7.3587694004437376E-2</v>
      </c>
    </row>
    <row r="54" spans="17:19" x14ac:dyDescent="0.25">
      <c r="Q54" s="374" t="s">
        <v>182</v>
      </c>
      <c r="S54" s="54">
        <v>7.5069160677213684E-2</v>
      </c>
    </row>
    <row r="55" spans="17:19" x14ac:dyDescent="0.25">
      <c r="Q55" s="374" t="s">
        <v>183</v>
      </c>
      <c r="S55" s="54">
        <v>8.3382729556335244E-2</v>
      </c>
    </row>
    <row r="56" spans="17:19" x14ac:dyDescent="0.25">
      <c r="Q56" s="374" t="s">
        <v>184</v>
      </c>
      <c r="S56" s="54">
        <v>9.2888956982734888E-2</v>
      </c>
    </row>
    <row r="57" spans="17:19" x14ac:dyDescent="0.25">
      <c r="Q57" s="374" t="s">
        <v>185</v>
      </c>
      <c r="S57" s="54">
        <v>9.0974923517863751E-2</v>
      </c>
    </row>
    <row r="58" spans="17:19" x14ac:dyDescent="0.25">
      <c r="Q58" s="374" t="s">
        <v>186</v>
      </c>
      <c r="S58" s="54">
        <v>8.7483494730085265E-2</v>
      </c>
    </row>
    <row r="59" spans="17:19" x14ac:dyDescent="0.25">
      <c r="Q59" s="374" t="s">
        <v>187</v>
      </c>
      <c r="S59" s="54">
        <v>8.785950437435873E-2</v>
      </c>
    </row>
    <row r="60" spans="17:19" x14ac:dyDescent="0.25">
      <c r="Q60" s="374" t="s">
        <v>188</v>
      </c>
      <c r="S60" s="54">
        <v>9.0987245678905648E-2</v>
      </c>
    </row>
    <row r="61" spans="17:19" x14ac:dyDescent="0.25">
      <c r="Q61" s="374" t="s">
        <v>144</v>
      </c>
      <c r="S61" s="54">
        <v>9.6807112642503398E-2</v>
      </c>
    </row>
    <row r="62" spans="17:19" x14ac:dyDescent="0.25">
      <c r="Q62" s="374" t="s">
        <v>147</v>
      </c>
      <c r="S62" s="54">
        <v>9.5376337875222719E-2</v>
      </c>
    </row>
    <row r="63" spans="17:19" x14ac:dyDescent="0.25">
      <c r="Q63" s="374" t="s">
        <v>148</v>
      </c>
      <c r="S63" s="54">
        <v>7.6323673056253247E-2</v>
      </c>
    </row>
    <row r="64" spans="17:19" x14ac:dyDescent="0.25">
      <c r="Q64" s="374" t="s">
        <v>149</v>
      </c>
      <c r="S64" s="54">
        <v>7.6310423334359362E-2</v>
      </c>
    </row>
    <row r="65" spans="17:19" x14ac:dyDescent="0.25">
      <c r="Q65" s="374" t="s">
        <v>150</v>
      </c>
      <c r="S65" s="54">
        <v>7.7079963175039207E-2</v>
      </c>
    </row>
    <row r="66" spans="17:19" x14ac:dyDescent="0.25">
      <c r="Q66" s="374" t="s">
        <v>151</v>
      </c>
      <c r="S66" s="54">
        <v>7.3886872680407015E-2</v>
      </c>
    </row>
    <row r="67" spans="17:19" x14ac:dyDescent="0.25">
      <c r="Q67" s="374" t="s">
        <v>152</v>
      </c>
      <c r="S67" s="54">
        <v>6.9665902627534068E-2</v>
      </c>
    </row>
    <row r="68" spans="17:19" x14ac:dyDescent="0.25">
      <c r="Q68" s="374" t="s">
        <v>153</v>
      </c>
      <c r="S68" s="54">
        <v>6.2295997685995572E-2</v>
      </c>
    </row>
    <row r="69" spans="17:19" x14ac:dyDescent="0.25">
      <c r="Q69" s="374" t="s">
        <v>170</v>
      </c>
      <c r="S69" s="54">
        <v>6.2036774246010742E-2</v>
      </c>
    </row>
    <row r="70" spans="17:19" x14ac:dyDescent="0.25">
      <c r="Q70" s="374" t="s">
        <v>172</v>
      </c>
      <c r="S70" s="54">
        <v>6.561504793551684E-2</v>
      </c>
    </row>
    <row r="71" spans="17:19" x14ac:dyDescent="0.25">
      <c r="Q71" s="374" t="s">
        <v>174</v>
      </c>
      <c r="S71" s="54">
        <v>6.4496514171784439E-2</v>
      </c>
    </row>
    <row r="72" spans="17:19" x14ac:dyDescent="0.25">
      <c r="Q72" s="374" t="s">
        <v>190</v>
      </c>
      <c r="S72" s="54">
        <v>6.8653215218271127E-2</v>
      </c>
    </row>
    <row r="73" spans="17:19" x14ac:dyDescent="0.25">
      <c r="Q73" s="374" t="s">
        <v>246</v>
      </c>
      <c r="S73" s="54">
        <v>6.2865518770910483E-2</v>
      </c>
    </row>
    <row r="74" spans="17:19" x14ac:dyDescent="0.25">
      <c r="Q74" s="374" t="s">
        <v>247</v>
      </c>
      <c r="S74" s="54">
        <v>5.6999087253633562E-2</v>
      </c>
    </row>
    <row r="75" spans="17:19" x14ac:dyDescent="0.25">
      <c r="Q75" s="374" t="s">
        <v>248</v>
      </c>
      <c r="S75" s="54">
        <v>5.8701293690607975E-2</v>
      </c>
    </row>
    <row r="76" spans="17:19" x14ac:dyDescent="0.25">
      <c r="Q76" s="374" t="s">
        <v>249</v>
      </c>
      <c r="S76" s="54">
        <v>5.0652897106330599E-2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Datos Ing. est. noil</vt:lpstr>
      <vt:lpstr>Ingreso estructural no oil</vt:lpstr>
      <vt:lpstr>Datos Gastos GC</vt:lpstr>
      <vt:lpstr>Gasto estructural</vt:lpstr>
      <vt:lpstr>Datos CBE</vt:lpstr>
      <vt:lpstr>Balance Estructural</vt:lpstr>
      <vt:lpstr>Datos IB</vt:lpstr>
      <vt:lpstr>Indicador Blanchard</vt:lpstr>
      <vt:lpstr>GIB</vt:lpstr>
      <vt:lpstr>PIB TRIB TASA DE CREC</vt:lpstr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Roxy Poxy</dc:creator>
  <cp:lastModifiedBy>TNK_2</cp:lastModifiedBy>
  <dcterms:created xsi:type="dcterms:W3CDTF">2013-02-21T17:25:23Z</dcterms:created>
  <dcterms:modified xsi:type="dcterms:W3CDTF">2019-05-23T21:42:49Z</dcterms:modified>
</cp:coreProperties>
</file>